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Users\jjdow\Desktop\"/>
    </mc:Choice>
  </mc:AlternateContent>
  <xr:revisionPtr revIDLastSave="0" documentId="13_ncr:1_{DE4CEB79-DF1C-4F5C-886E-B8ABCC1DE31A}" xr6:coauthVersionLast="47" xr6:coauthVersionMax="47" xr10:uidLastSave="{00000000-0000-0000-0000-000000000000}"/>
  <bookViews>
    <workbookView xWindow="-108" yWindow="-108" windowWidth="23256" windowHeight="12576" activeTab="1" xr2:uid="{00000000-000D-0000-FFFF-FFFF00000000}"/>
  </bookViews>
  <sheets>
    <sheet name="Instructions" sheetId="10" r:id="rId1"/>
    <sheet name="Project Credits" sheetId="7" r:id="rId2"/>
    <sheet name="CR for Nutrient Conversion" sheetId="9" r:id="rId3"/>
    <sheet name="Detailed Jordan Credit Ratios" sheetId="8" r:id="rId4"/>
  </sheets>
  <definedNames>
    <definedName name="_xlnm.Print_Area" localSheetId="0">Instructions!$A$1:$P$47</definedName>
    <definedName name="_xlnm.Print_Area" localSheetId="1">'Project Credits'!$A$1:$Q$49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7" l="1"/>
  <c r="M36" i="7"/>
  <c r="M37" i="7"/>
  <c r="M38" i="7"/>
  <c r="L35" i="7"/>
  <c r="L36" i="7"/>
  <c r="L37" i="7"/>
  <c r="L38" i="7"/>
  <c r="K35" i="7"/>
  <c r="K36" i="7"/>
  <c r="K37" i="7"/>
  <c r="K38" i="7"/>
  <c r="J35" i="7"/>
  <c r="J36" i="7"/>
  <c r="J37" i="7"/>
  <c r="J38" i="7"/>
  <c r="J10" i="7"/>
  <c r="I30" i="7" l="1"/>
  <c r="I31" i="7" s="1"/>
  <c r="H30" i="7" l="1"/>
  <c r="H39" i="7"/>
  <c r="H28" i="7"/>
  <c r="I27" i="7"/>
  <c r="H27" i="7"/>
  <c r="H32" i="7" s="1"/>
  <c r="J34" i="7" l="1"/>
  <c r="N12" i="7" l="1"/>
  <c r="N13" i="7"/>
  <c r="N14" i="7"/>
  <c r="N15" i="7"/>
  <c r="N16" i="7"/>
  <c r="N17" i="7"/>
  <c r="N18" i="7"/>
  <c r="N19" i="7"/>
  <c r="N20" i="7"/>
  <c r="N21" i="7"/>
  <c r="N22" i="7"/>
  <c r="N23" i="7"/>
  <c r="N24" i="7"/>
  <c r="N25" i="7"/>
  <c r="I39" i="7" l="1"/>
  <c r="C48" i="7"/>
  <c r="H31" i="7" l="1"/>
  <c r="I32" i="7"/>
  <c r="L12" i="7"/>
  <c r="L13" i="7"/>
  <c r="L14" i="7"/>
  <c r="L15" i="7"/>
  <c r="L16" i="7"/>
  <c r="L17" i="7"/>
  <c r="L18" i="7"/>
  <c r="L19" i="7"/>
  <c r="L20" i="7"/>
  <c r="L21" i="7"/>
  <c r="L22" i="7"/>
  <c r="L23" i="7"/>
  <c r="L24" i="7"/>
  <c r="L25" i="7"/>
  <c r="H26" i="7"/>
  <c r="K8" i="7" l="1"/>
  <c r="K9" i="7"/>
  <c r="K10" i="7"/>
  <c r="K11" i="7"/>
  <c r="K12" i="7"/>
  <c r="K13" i="7"/>
  <c r="K14" i="7"/>
  <c r="K15" i="7"/>
  <c r="K16" i="7"/>
  <c r="K17" i="7"/>
  <c r="K18" i="7"/>
  <c r="K19" i="7"/>
  <c r="K20" i="7"/>
  <c r="K21" i="7"/>
  <c r="K22" i="7"/>
  <c r="K23" i="7"/>
  <c r="K24" i="7"/>
  <c r="K25" i="7"/>
  <c r="K34" i="7" l="1"/>
  <c r="L34" i="7" s="1"/>
  <c r="C43" i="7"/>
  <c r="K7" i="7"/>
  <c r="J8" i="7"/>
  <c r="L8" i="7" s="1"/>
  <c r="N8" i="7" s="1"/>
  <c r="J9" i="7"/>
  <c r="L9" i="7" s="1"/>
  <c r="N9" i="7" s="1"/>
  <c r="L10" i="7"/>
  <c r="N10" i="7" s="1"/>
  <c r="J11" i="7"/>
  <c r="L11" i="7" s="1"/>
  <c r="N11" i="7" s="1"/>
  <c r="J12" i="7"/>
  <c r="J13" i="7"/>
  <c r="J14" i="7"/>
  <c r="J15" i="7"/>
  <c r="J16" i="7"/>
  <c r="J17" i="7"/>
  <c r="J18" i="7"/>
  <c r="J19" i="7"/>
  <c r="J20" i="7"/>
  <c r="J21" i="7"/>
  <c r="J22" i="7"/>
  <c r="J23" i="7"/>
  <c r="J24" i="7"/>
  <c r="J25" i="7"/>
  <c r="J7" i="7"/>
  <c r="M34" i="7" l="1"/>
  <c r="D44" i="7" s="1"/>
  <c r="L7" i="7"/>
  <c r="N7" i="7" l="1"/>
  <c r="N26" i="7" s="1"/>
  <c r="C44" i="7"/>
  <c r="I26" i="7" l="1"/>
  <c r="C42" i="7"/>
  <c r="C45" i="7" s="1"/>
  <c r="A4" i="7" l="1"/>
  <c r="A5" i="7"/>
  <c r="Q8" i="7" l="1"/>
  <c r="Q16" i="7"/>
  <c r="Q24" i="7"/>
  <c r="Q9" i="7"/>
  <c r="Q17" i="7"/>
  <c r="Q25" i="7"/>
  <c r="Q10" i="7"/>
  <c r="Q18" i="7"/>
  <c r="Q11" i="7"/>
  <c r="Q19" i="7"/>
  <c r="Q12" i="7"/>
  <c r="Q20" i="7"/>
  <c r="Q13" i="7"/>
  <c r="Q21" i="7"/>
  <c r="Q14" i="7"/>
  <c r="Q22" i="7"/>
  <c r="Q15" i="7"/>
  <c r="Q23" i="7"/>
  <c r="Q7" i="7"/>
  <c r="P14" i="7"/>
  <c r="P22" i="7"/>
  <c r="P15" i="7"/>
  <c r="P23" i="7"/>
  <c r="P8" i="7"/>
  <c r="P16" i="7"/>
  <c r="P24" i="7"/>
  <c r="P9" i="7"/>
  <c r="P17" i="7"/>
  <c r="P25" i="7"/>
  <c r="P10" i="7"/>
  <c r="P18" i="7"/>
  <c r="P11" i="7"/>
  <c r="P19" i="7"/>
  <c r="P12" i="7"/>
  <c r="P20" i="7"/>
  <c r="P13" i="7"/>
  <c r="P21" i="7"/>
  <c r="P7" i="7"/>
  <c r="P26" i="7" s="1"/>
  <c r="D49" i="7"/>
  <c r="F69" i="8"/>
  <c r="H69" i="8" s="1"/>
  <c r="L69" i="8" s="1"/>
  <c r="E69" i="8"/>
  <c r="G69" i="8" s="1"/>
  <c r="K69" i="8" s="1"/>
  <c r="F68" i="8"/>
  <c r="H68" i="8" s="1"/>
  <c r="L68" i="8" s="1"/>
  <c r="E68" i="8"/>
  <c r="G68" i="8" s="1"/>
  <c r="K68" i="8" s="1"/>
  <c r="F67" i="8"/>
  <c r="H67" i="8" s="1"/>
  <c r="L67" i="8" s="1"/>
  <c r="E67" i="8"/>
  <c r="G67" i="8" s="1"/>
  <c r="K67" i="8" s="1"/>
  <c r="F66" i="8"/>
  <c r="H66" i="8" s="1"/>
  <c r="L66" i="8" s="1"/>
  <c r="E66" i="8"/>
  <c r="G66" i="8" s="1"/>
  <c r="K66" i="8" s="1"/>
  <c r="F65" i="8"/>
  <c r="H65" i="8" s="1"/>
  <c r="L65" i="8" s="1"/>
  <c r="E65" i="8"/>
  <c r="G65" i="8" s="1"/>
  <c r="K65" i="8" s="1"/>
  <c r="G64" i="8"/>
  <c r="K64" i="8" s="1"/>
  <c r="F64" i="8"/>
  <c r="H64" i="8" s="1"/>
  <c r="L64" i="8" s="1"/>
  <c r="E64" i="8"/>
  <c r="F63" i="8"/>
  <c r="H63" i="8" s="1"/>
  <c r="L63" i="8" s="1"/>
  <c r="E63" i="8"/>
  <c r="G63" i="8" s="1"/>
  <c r="K63" i="8" s="1"/>
  <c r="F62" i="8"/>
  <c r="H62" i="8" s="1"/>
  <c r="L62" i="8" s="1"/>
  <c r="E62" i="8"/>
  <c r="G62" i="8" s="1"/>
  <c r="K62" i="8" s="1"/>
  <c r="F61" i="8"/>
  <c r="H61" i="8" s="1"/>
  <c r="L61" i="8" s="1"/>
  <c r="E61" i="8"/>
  <c r="G61" i="8" s="1"/>
  <c r="K61" i="8" s="1"/>
  <c r="F60" i="8"/>
  <c r="H60" i="8" s="1"/>
  <c r="L60" i="8" s="1"/>
  <c r="E60" i="8"/>
  <c r="G60" i="8" s="1"/>
  <c r="K60" i="8" s="1"/>
  <c r="F59" i="8"/>
  <c r="H59" i="8" s="1"/>
  <c r="L59" i="8" s="1"/>
  <c r="E59" i="8"/>
  <c r="G59" i="8" s="1"/>
  <c r="K59" i="8" s="1"/>
  <c r="F58" i="8"/>
  <c r="H58" i="8" s="1"/>
  <c r="L58" i="8" s="1"/>
  <c r="E58" i="8"/>
  <c r="G58" i="8" s="1"/>
  <c r="K58" i="8" s="1"/>
  <c r="F57" i="8"/>
  <c r="H57" i="8" s="1"/>
  <c r="L57" i="8" s="1"/>
  <c r="E57" i="8"/>
  <c r="G57" i="8" s="1"/>
  <c r="K57" i="8" s="1"/>
  <c r="F56" i="8"/>
  <c r="H56" i="8" s="1"/>
  <c r="L56" i="8" s="1"/>
  <c r="E56" i="8"/>
  <c r="G56" i="8" s="1"/>
  <c r="K56" i="8" s="1"/>
  <c r="F55" i="8"/>
  <c r="H55" i="8" s="1"/>
  <c r="L55" i="8" s="1"/>
  <c r="E55" i="8"/>
  <c r="G55" i="8" s="1"/>
  <c r="K55" i="8" s="1"/>
  <c r="F54" i="8"/>
  <c r="H54" i="8" s="1"/>
  <c r="L54" i="8" s="1"/>
  <c r="E54" i="8"/>
  <c r="G54" i="8" s="1"/>
  <c r="K54" i="8" s="1"/>
  <c r="F53" i="8"/>
  <c r="H53" i="8" s="1"/>
  <c r="L53" i="8" s="1"/>
  <c r="E53" i="8"/>
  <c r="G53" i="8" s="1"/>
  <c r="K53" i="8" s="1"/>
  <c r="F52" i="8"/>
  <c r="H52" i="8" s="1"/>
  <c r="L52" i="8" s="1"/>
  <c r="E52" i="8"/>
  <c r="G52" i="8" s="1"/>
  <c r="K52" i="8" s="1"/>
  <c r="F51" i="8"/>
  <c r="H51" i="8" s="1"/>
  <c r="L51" i="8" s="1"/>
  <c r="E51" i="8"/>
  <c r="G51" i="8" s="1"/>
  <c r="K51" i="8" s="1"/>
  <c r="F50" i="8"/>
  <c r="H50" i="8" s="1"/>
  <c r="L50" i="8" s="1"/>
  <c r="E50" i="8"/>
  <c r="G50" i="8" s="1"/>
  <c r="K50" i="8" s="1"/>
  <c r="F49" i="8"/>
  <c r="H49" i="8" s="1"/>
  <c r="L49" i="8" s="1"/>
  <c r="E49" i="8"/>
  <c r="G49" i="8" s="1"/>
  <c r="K49" i="8" s="1"/>
  <c r="F48" i="8"/>
  <c r="H48" i="8" s="1"/>
  <c r="L48" i="8" s="1"/>
  <c r="E48" i="8"/>
  <c r="G48" i="8" s="1"/>
  <c r="K48" i="8" s="1"/>
  <c r="F47" i="8"/>
  <c r="H47" i="8" s="1"/>
  <c r="L47" i="8" s="1"/>
  <c r="E47" i="8"/>
  <c r="G47" i="8" s="1"/>
  <c r="K47" i="8" s="1"/>
  <c r="F46" i="8"/>
  <c r="H46" i="8" s="1"/>
  <c r="L46" i="8" s="1"/>
  <c r="E46" i="8"/>
  <c r="G46" i="8" s="1"/>
  <c r="K46" i="8" s="1"/>
  <c r="G45" i="8"/>
  <c r="K45" i="8" s="1"/>
  <c r="F45" i="8"/>
  <c r="H45" i="8" s="1"/>
  <c r="L45" i="8" s="1"/>
  <c r="E45" i="8"/>
  <c r="F44" i="8"/>
  <c r="H44" i="8" s="1"/>
  <c r="L44" i="8" s="1"/>
  <c r="E44" i="8"/>
  <c r="G44" i="8" s="1"/>
  <c r="K44" i="8" s="1"/>
  <c r="F43" i="8"/>
  <c r="H43" i="8" s="1"/>
  <c r="L43" i="8" s="1"/>
  <c r="E43" i="8"/>
  <c r="G43" i="8" s="1"/>
  <c r="K43" i="8" s="1"/>
  <c r="F42" i="8"/>
  <c r="H42" i="8" s="1"/>
  <c r="L42" i="8" s="1"/>
  <c r="E42" i="8"/>
  <c r="G42" i="8" s="1"/>
  <c r="K42" i="8" s="1"/>
  <c r="F41" i="8"/>
  <c r="H41" i="8" s="1"/>
  <c r="L41" i="8" s="1"/>
  <c r="E41" i="8"/>
  <c r="G41" i="8" s="1"/>
  <c r="K41" i="8" s="1"/>
  <c r="F40" i="8"/>
  <c r="H40" i="8" s="1"/>
  <c r="L40" i="8" s="1"/>
  <c r="E40" i="8"/>
  <c r="G40" i="8" s="1"/>
  <c r="K40" i="8" s="1"/>
  <c r="F39" i="8"/>
  <c r="H39" i="8" s="1"/>
  <c r="L39" i="8" s="1"/>
  <c r="E39" i="8"/>
  <c r="G39" i="8" s="1"/>
  <c r="K39" i="8" s="1"/>
  <c r="F38" i="8"/>
  <c r="H38" i="8" s="1"/>
  <c r="L38" i="8" s="1"/>
  <c r="E38" i="8"/>
  <c r="G38" i="8" s="1"/>
  <c r="K38" i="8" s="1"/>
  <c r="F37" i="8"/>
  <c r="H37" i="8" s="1"/>
  <c r="L37" i="8" s="1"/>
  <c r="E37" i="8"/>
  <c r="G37" i="8" s="1"/>
  <c r="K37" i="8" s="1"/>
  <c r="F36" i="8"/>
  <c r="H36" i="8" s="1"/>
  <c r="L36" i="8" s="1"/>
  <c r="E36" i="8"/>
  <c r="G36" i="8" s="1"/>
  <c r="K36" i="8" s="1"/>
  <c r="F35" i="8"/>
  <c r="H35" i="8" s="1"/>
  <c r="L35" i="8" s="1"/>
  <c r="E35" i="8"/>
  <c r="G35" i="8" s="1"/>
  <c r="K35" i="8" s="1"/>
  <c r="F34" i="8"/>
  <c r="H34" i="8" s="1"/>
  <c r="L34" i="8" s="1"/>
  <c r="E34" i="8"/>
  <c r="G34" i="8" s="1"/>
  <c r="K34" i="8" s="1"/>
  <c r="F33" i="8"/>
  <c r="H33" i="8" s="1"/>
  <c r="L33" i="8" s="1"/>
  <c r="E33" i="8"/>
  <c r="G33" i="8" s="1"/>
  <c r="K33" i="8" s="1"/>
  <c r="G32" i="8"/>
  <c r="K32" i="8" s="1"/>
  <c r="F32" i="8"/>
  <c r="H32" i="8" s="1"/>
  <c r="L32" i="8" s="1"/>
  <c r="E32" i="8"/>
  <c r="F31" i="8"/>
  <c r="H31" i="8" s="1"/>
  <c r="L31" i="8" s="1"/>
  <c r="E31" i="8"/>
  <c r="G31" i="8" s="1"/>
  <c r="K31" i="8" s="1"/>
  <c r="F30" i="8"/>
  <c r="H30" i="8" s="1"/>
  <c r="L30" i="8" s="1"/>
  <c r="E30" i="8"/>
  <c r="G30" i="8" s="1"/>
  <c r="K30" i="8" s="1"/>
  <c r="F29" i="8"/>
  <c r="H29" i="8" s="1"/>
  <c r="L29" i="8" s="1"/>
  <c r="E29" i="8"/>
  <c r="G29" i="8" s="1"/>
  <c r="K29" i="8" s="1"/>
  <c r="F28" i="8"/>
  <c r="H28" i="8" s="1"/>
  <c r="L28" i="8" s="1"/>
  <c r="E28" i="8"/>
  <c r="G28" i="8" s="1"/>
  <c r="K28" i="8" s="1"/>
  <c r="F27" i="8"/>
  <c r="H27" i="8" s="1"/>
  <c r="L27" i="8" s="1"/>
  <c r="E27" i="8"/>
  <c r="G27" i="8" s="1"/>
  <c r="K27" i="8" s="1"/>
  <c r="F26" i="8"/>
  <c r="H26" i="8" s="1"/>
  <c r="L26" i="8" s="1"/>
  <c r="E26" i="8"/>
  <c r="G26" i="8" s="1"/>
  <c r="K26" i="8" s="1"/>
  <c r="F25" i="8"/>
  <c r="H25" i="8" s="1"/>
  <c r="L25" i="8" s="1"/>
  <c r="E25" i="8"/>
  <c r="G25" i="8" s="1"/>
  <c r="K25" i="8" s="1"/>
  <c r="F24" i="8"/>
  <c r="H24" i="8" s="1"/>
  <c r="L24" i="8" s="1"/>
  <c r="E24" i="8"/>
  <c r="G24" i="8" s="1"/>
  <c r="K24" i="8" s="1"/>
  <c r="F23" i="8"/>
  <c r="H23" i="8" s="1"/>
  <c r="L23" i="8" s="1"/>
  <c r="E23" i="8"/>
  <c r="G23" i="8" s="1"/>
  <c r="K23" i="8" s="1"/>
  <c r="F22" i="8"/>
  <c r="H22" i="8" s="1"/>
  <c r="L22" i="8" s="1"/>
  <c r="E22" i="8"/>
  <c r="G22" i="8" s="1"/>
  <c r="K22" i="8" s="1"/>
  <c r="F21" i="8"/>
  <c r="H21" i="8" s="1"/>
  <c r="L21" i="8" s="1"/>
  <c r="E21" i="8"/>
  <c r="G21" i="8" s="1"/>
  <c r="K21" i="8" s="1"/>
  <c r="F20" i="8"/>
  <c r="H20" i="8" s="1"/>
  <c r="L20" i="8" s="1"/>
  <c r="E20" i="8"/>
  <c r="G20" i="8" s="1"/>
  <c r="K20" i="8" s="1"/>
  <c r="F19" i="8"/>
  <c r="H19" i="8" s="1"/>
  <c r="L19" i="8" s="1"/>
  <c r="E19" i="8"/>
  <c r="G19" i="8" s="1"/>
  <c r="K19" i="8" s="1"/>
  <c r="F18" i="8"/>
  <c r="H18" i="8" s="1"/>
  <c r="L18" i="8" s="1"/>
  <c r="E18" i="8"/>
  <c r="G18" i="8" s="1"/>
  <c r="K18" i="8" s="1"/>
  <c r="F17" i="8"/>
  <c r="H17" i="8" s="1"/>
  <c r="L17" i="8" s="1"/>
  <c r="E17" i="8"/>
  <c r="G17" i="8" s="1"/>
  <c r="K17" i="8" s="1"/>
  <c r="F16" i="8"/>
  <c r="H16" i="8" s="1"/>
  <c r="L16" i="8" s="1"/>
  <c r="E16" i="8"/>
  <c r="G16" i="8" s="1"/>
  <c r="K16" i="8" s="1"/>
  <c r="F15" i="8"/>
  <c r="H15" i="8" s="1"/>
  <c r="L15" i="8" s="1"/>
  <c r="E15" i="8"/>
  <c r="G15" i="8" s="1"/>
  <c r="K15" i="8" s="1"/>
  <c r="F14" i="8"/>
  <c r="H14" i="8" s="1"/>
  <c r="L14" i="8" s="1"/>
  <c r="E14" i="8"/>
  <c r="G14" i="8" s="1"/>
  <c r="K14" i="8" s="1"/>
  <c r="F13" i="8"/>
  <c r="H13" i="8" s="1"/>
  <c r="L13" i="8" s="1"/>
  <c r="E13" i="8"/>
  <c r="G13" i="8" s="1"/>
  <c r="K13" i="8" s="1"/>
  <c r="F12" i="8"/>
  <c r="H12" i="8" s="1"/>
  <c r="L12" i="8" s="1"/>
  <c r="E12" i="8"/>
  <c r="G12" i="8" s="1"/>
  <c r="K12" i="8" s="1"/>
  <c r="F11" i="8"/>
  <c r="H11" i="8" s="1"/>
  <c r="L11" i="8" s="1"/>
  <c r="E11" i="8"/>
  <c r="G11" i="8" s="1"/>
  <c r="K11" i="8" s="1"/>
  <c r="F10" i="8"/>
  <c r="H10" i="8" s="1"/>
  <c r="L10" i="8" s="1"/>
  <c r="E10" i="8"/>
  <c r="G10" i="8" s="1"/>
  <c r="K10" i="8" s="1"/>
  <c r="F9" i="8"/>
  <c r="H9" i="8" s="1"/>
  <c r="L9" i="8" s="1"/>
  <c r="E9" i="8"/>
  <c r="G9" i="8" s="1"/>
  <c r="K9" i="8" s="1"/>
  <c r="Q26" i="7" l="1"/>
  <c r="D48" i="7"/>
  <c r="D43" i="7"/>
  <c r="D42" i="7" l="1"/>
  <c r="D45" i="7" l="1"/>
</calcChain>
</file>

<file path=xl/sharedStrings.xml><?xml version="1.0" encoding="utf-8"?>
<sst xmlns="http://schemas.openxmlformats.org/spreadsheetml/2006/main" count="519" uniqueCount="250">
  <si>
    <t>% Full Credit</t>
  </si>
  <si>
    <t>Location</t>
  </si>
  <si>
    <t>Feature Name</t>
  </si>
  <si>
    <t>Min-Max Buffer Width (ft)</t>
  </si>
  <si>
    <t>Total Area (sf)</t>
  </si>
  <si>
    <t>Initial Credit Ratio (x:1)</t>
  </si>
  <si>
    <t>Final Credit Ratio (x:1)</t>
  </si>
  <si>
    <t>Riparian Buffer Credits</t>
  </si>
  <si>
    <t>N</t>
  </si>
  <si>
    <t>Feature Type</t>
  </si>
  <si>
    <t>Credit Generated (lbs/30 yrs)</t>
  </si>
  <si>
    <t>Jordan Subwatershed</t>
  </si>
  <si>
    <t>Nitrogen</t>
  </si>
  <si>
    <t>Phosphorus</t>
  </si>
  <si>
    <t>Cape Fear - Jordan Haw</t>
  </si>
  <si>
    <t>Cape Fear - Jordan Upper New Hope</t>
  </si>
  <si>
    <t>Cape Fear - Jordan Lower New Hope</t>
  </si>
  <si>
    <t>Shown to 6th decimal</t>
  </si>
  <si>
    <t>Rounded to 5th decimal</t>
  </si>
  <si>
    <t>Rounded Up to the 5th decimal</t>
  </si>
  <si>
    <t>Watershed ID</t>
  </si>
  <si>
    <t>Delivery Factors</t>
  </si>
  <si>
    <t>TN Credit</t>
  </si>
  <si>
    <t>TP Credit</t>
  </si>
  <si>
    <t>TN</t>
  </si>
  <si>
    <t>TP</t>
  </si>
  <si>
    <t>(lbs/30yrs)</t>
  </si>
  <si>
    <t>03030002010010</t>
  </si>
  <si>
    <t>03030002010020</t>
  </si>
  <si>
    <t>03030002010030</t>
  </si>
  <si>
    <t>03030002010040</t>
  </si>
  <si>
    <t>03030002010050</t>
  </si>
  <si>
    <t>03030002020010</t>
  </si>
  <si>
    <t>03030002020020</t>
  </si>
  <si>
    <t>03030002020030</t>
  </si>
  <si>
    <t>03030002020040</t>
  </si>
  <si>
    <t>03030002020050</t>
  </si>
  <si>
    <t>03030002020060</t>
  </si>
  <si>
    <t>03030002020070</t>
  </si>
  <si>
    <t>03030002030010</t>
  </si>
  <si>
    <t>03030002030020</t>
  </si>
  <si>
    <t>03030002030030</t>
  </si>
  <si>
    <t>03030002030040</t>
  </si>
  <si>
    <t>03030002030050</t>
  </si>
  <si>
    <t>03030002030060</t>
  </si>
  <si>
    <t>03030002030070</t>
  </si>
  <si>
    <t>03030002030080</t>
  </si>
  <si>
    <t>03030002040010</t>
  </si>
  <si>
    <t>03030002040020</t>
  </si>
  <si>
    <t>03030002040030</t>
  </si>
  <si>
    <t>03030002040040</t>
  </si>
  <si>
    <t>03030002040050</t>
  </si>
  <si>
    <t>03030002040060</t>
  </si>
  <si>
    <t>03030002040070</t>
  </si>
  <si>
    <t>03030002040080</t>
  </si>
  <si>
    <t>03030002040090</t>
  </si>
  <si>
    <t>03030002040100</t>
  </si>
  <si>
    <t>03030002040110</t>
  </si>
  <si>
    <t>03030002050010</t>
  </si>
  <si>
    <t>03030002050020</t>
  </si>
  <si>
    <t>03030002050030</t>
  </si>
  <si>
    <t>03030002050040</t>
  </si>
  <si>
    <t>03030002050050</t>
  </si>
  <si>
    <t>03030002050060</t>
  </si>
  <si>
    <t>03030002050070</t>
  </si>
  <si>
    <t>03030002050080</t>
  </si>
  <si>
    <t>03030002050090</t>
  </si>
  <si>
    <t>03030002050100</t>
  </si>
  <si>
    <t>03030002060010</t>
  </si>
  <si>
    <t>03030002060020</t>
  </si>
  <si>
    <t>03030002060030</t>
  </si>
  <si>
    <t>03030002060040</t>
  </si>
  <si>
    <t>03030002060050</t>
  </si>
  <si>
    <t>03030002060062</t>
  </si>
  <si>
    <t>03030002060070</t>
  </si>
  <si>
    <t>03030002060080</t>
  </si>
  <si>
    <t>03030002060100</t>
  </si>
  <si>
    <t>03030002060110</t>
  </si>
  <si>
    <t>03030002060120</t>
  </si>
  <si>
    <t>03030002060140</t>
  </si>
  <si>
    <t>03030002060130</t>
  </si>
  <si>
    <t>03030002060160</t>
  </si>
  <si>
    <t>03030002060090*</t>
  </si>
  <si>
    <t>03030002060060*</t>
  </si>
  <si>
    <t>03030002060150*</t>
  </si>
  <si>
    <t>* Watershed is located in both the Upper New Hope (UNH) and Lower New Hope (LNH) Subwatersheds.</t>
  </si>
  <si>
    <t>Service Area</t>
  </si>
  <si>
    <t>If input</t>
  </si>
  <si>
    <t>and roundup result</t>
  </si>
  <si>
    <t>Cape Fear - Randleman</t>
  </si>
  <si>
    <t>N/A</t>
  </si>
  <si>
    <t>P</t>
  </si>
  <si>
    <t>Catawba Buffer</t>
  </si>
  <si>
    <t>Neuse 03020202</t>
  </si>
  <si>
    <t>Neuse 03020203</t>
  </si>
  <si>
    <t>Neuse 03020204</t>
  </si>
  <si>
    <t>Tar-Pamlico 03020101</t>
  </si>
  <si>
    <t>Tar-Pamlico 03020102</t>
  </si>
  <si>
    <t>Tar-Pamlico 03020103</t>
  </si>
  <si>
    <t>Tar-Pamlico 03020104</t>
  </si>
  <si>
    <t>Tar-Pamlico 03020105</t>
  </si>
  <si>
    <t>Yadkin - Goose Creek</t>
  </si>
  <si>
    <t>If use:</t>
  </si>
  <si>
    <t>And Roundup</t>
  </si>
  <si>
    <t>*Cape Fear - Jordan Haw, Upper New Hope and Lower New Hope credit ratios shown as sf/delivered credits.</t>
  </si>
  <si>
    <t>Cape Fear - Jordan Haw 03030002010010</t>
  </si>
  <si>
    <t>Cape Fear - Jordan Haw 03030002010020</t>
  </si>
  <si>
    <t>Cape Fear - Jordan Haw 03030002010030</t>
  </si>
  <si>
    <t>Cape Fear - Jordan Haw 03030002010040</t>
  </si>
  <si>
    <t>Cape Fear - Jordan Haw 03030002010050</t>
  </si>
  <si>
    <t>Cape Fear - Jordan Haw 03030002020010</t>
  </si>
  <si>
    <t>Cape Fear - Jordan Haw 03030002020020</t>
  </si>
  <si>
    <t>Cape Fear - Jordan Haw 03030002020030</t>
  </si>
  <si>
    <t>Cape Fear - Jordan Haw 03030002020040</t>
  </si>
  <si>
    <t>Cape Fear - Jordan Haw 03030002020050</t>
  </si>
  <si>
    <t>Cape Fear - Jordan Haw 03030002020060</t>
  </si>
  <si>
    <t>Cape Fear - Jordan Haw 03030002020070</t>
  </si>
  <si>
    <t>Cape Fear - Jordan Haw 03030002030010</t>
  </si>
  <si>
    <t>Cape Fear - Jordan Haw 03030002030020</t>
  </si>
  <si>
    <t>Cape Fear - Jordan Haw 03030002030030</t>
  </si>
  <si>
    <t>Cape Fear - Jordan Haw 03030002030040</t>
  </si>
  <si>
    <t>Cape Fear - Jordan Haw 03030002030050</t>
  </si>
  <si>
    <t>Cape Fear - Jordan Haw 03030002030060</t>
  </si>
  <si>
    <t>Cape Fear - Jordan Haw 03030002030070</t>
  </si>
  <si>
    <t>Cape Fear - Jordan Haw 03030002030080</t>
  </si>
  <si>
    <t>Cape Fear - Jordan Haw 03030002040010</t>
  </si>
  <si>
    <t>Cape Fear - Jordan Haw 03030002040020</t>
  </si>
  <si>
    <t>Cape Fear - Jordan Haw 03030002040030</t>
  </si>
  <si>
    <t>Cape Fear - Jordan Haw 03030002040040</t>
  </si>
  <si>
    <t>Cape Fear - Jordan Haw 03030002040050</t>
  </si>
  <si>
    <t>Cape Fear - Jordan Haw 03030002040060</t>
  </si>
  <si>
    <t>Cape Fear - Jordan Haw 03030002040070</t>
  </si>
  <si>
    <t>Cape Fear - Jordan Haw 03030002040080</t>
  </si>
  <si>
    <t>Cape Fear - Jordan Haw 03030002040090</t>
  </si>
  <si>
    <t>Cape Fear - Jordan Haw 03030002040100</t>
  </si>
  <si>
    <t>Cape Fear - Jordan Haw 03030002040110</t>
  </si>
  <si>
    <t>Cape Fear - Jordan Haw 03030002050010</t>
  </si>
  <si>
    <t>Cape Fear - Jordan Haw 03030002050020</t>
  </si>
  <si>
    <t>Cape Fear - Jordan Haw 03030002050030</t>
  </si>
  <si>
    <t>Cape Fear - Jordan Haw 03030002050040</t>
  </si>
  <si>
    <t>Cape Fear - Jordan Haw 03030002050050</t>
  </si>
  <si>
    <t>Cape Fear - Jordan Haw 03030002050060</t>
  </si>
  <si>
    <t>Cape Fear - Jordan Haw 03030002050070</t>
  </si>
  <si>
    <t>Cape Fear - Jordan Haw 03030002050080</t>
  </si>
  <si>
    <t>Cape Fear - Jordan Haw 03030002050090</t>
  </si>
  <si>
    <t>Cape Fear - Jordan Haw 03030002050100</t>
  </si>
  <si>
    <t>Cape Fear - Jordan Haw 03030002060010</t>
  </si>
  <si>
    <t>Cape Fear - Jordan Haw 03030002060020</t>
  </si>
  <si>
    <t>Cape Fear - Jordan Haw 03030002060030</t>
  </si>
  <si>
    <t>Cape Fear - Jordan Haw 03030002060040</t>
  </si>
  <si>
    <t>Cape Fear - Jordan Haw 03030002060050</t>
  </si>
  <si>
    <t>Cape Fear - Jordan Haw 03030002060062</t>
  </si>
  <si>
    <t>Cape Fear - Jordan Upper New Hope 03030002060070</t>
  </si>
  <si>
    <t>Cape Fear - Jordan Upper New Hope 03030002060080</t>
  </si>
  <si>
    <t>Cape Fear - Jordan Upper New Hope 03030002060100</t>
  </si>
  <si>
    <t>Cape Fear - Jordan Upper New Hope 03030002060110</t>
  </si>
  <si>
    <t>Cape Fear - Jordan Upper New Hope 03030002060120</t>
  </si>
  <si>
    <t>Cape Fear - Jordan Upper New Hope 03030002060140</t>
  </si>
  <si>
    <t>Cape Fear - Jordan Upper New Hope 03030002060130</t>
  </si>
  <si>
    <t>All riparian area widths must be measured from top of bank or valley length if coastal headwater.</t>
  </si>
  <si>
    <t>Area eligible for preservation may be no more than 25% of total area of buffer mitigation, where total area is back-calculated with the equation R+E/0.75.</t>
  </si>
  <si>
    <t>Regulatory direction for Riparian Buffer in this table follows NCAC rule 15A NCAC 02B .0295, effective November 1, 2015.</t>
  </si>
  <si>
    <t>Regulatory direction for Nutrient Offset in this table follows Nutrient Offsets Payments Rule 15A NCAC 02B. 0240, amended effective September 1, 2010 and</t>
  </si>
  <si>
    <t>DWR – 1998.  Methodology and Calculations for determining Nutrient Reductions associated with Riparian Buffer Establishment.</t>
  </si>
  <si>
    <t>Enter Preservation Credits Below</t>
  </si>
  <si>
    <t>Buffer</t>
  </si>
  <si>
    <t>Convertible to Nutrient Offset?</t>
  </si>
  <si>
    <t>Table Information:</t>
  </si>
  <si>
    <t>— Blue cells are completed by selecting information from drop-down menus.</t>
  </si>
  <si>
    <t>— Yellow cells should be filled out as applicable to the project.</t>
  </si>
  <si>
    <t>— White cells are locked and cannot be altered.</t>
  </si>
  <si>
    <t>Cape Fear - Jordan Upper New Hope 03030002060090</t>
  </si>
  <si>
    <t>Cape Fear - Jordan Upper New Hope 03030002060060</t>
  </si>
  <si>
    <t>Cape Fear - Jordan Upper New Hope 03030002060150</t>
  </si>
  <si>
    <t>Cape Fear - Jordan Lower New Hope 03030002060150</t>
  </si>
  <si>
    <t>Cape Fear - Jordan Lower New Hope 03030002060060</t>
  </si>
  <si>
    <t>Cape Fear - Jordan Lower New Hope 03030002060090</t>
  </si>
  <si>
    <t>Cape Fear - Jordan Lower New Hope 03030002060160</t>
  </si>
  <si>
    <t>Nitrogen:</t>
  </si>
  <si>
    <t>Phosphorus:</t>
  </si>
  <si>
    <t>Regulatory Considerations:</t>
  </si>
  <si>
    <t>Credit Type</t>
  </si>
  <si>
    <t>Subject?</t>
  </si>
  <si>
    <r>
      <t xml:space="preserve">Subject? (enter NO if ephemeral or ditch </t>
    </r>
    <r>
      <rPr>
        <b/>
        <vertAlign val="superscript"/>
        <sz val="10"/>
        <color theme="1"/>
        <rFont val="Calibri"/>
        <family val="2"/>
        <scheme val="minor"/>
      </rPr>
      <t>1</t>
    </r>
    <r>
      <rPr>
        <b/>
        <sz val="10"/>
        <color theme="1"/>
        <rFont val="Calibri"/>
        <family val="2"/>
        <scheme val="minor"/>
      </rPr>
      <t>)</t>
    </r>
  </si>
  <si>
    <t>Mitigation Activity</t>
  </si>
  <si>
    <t>Square Feet</t>
  </si>
  <si>
    <t>Credits</t>
  </si>
  <si>
    <t>Restoration:</t>
  </si>
  <si>
    <t>Enhancement:</t>
  </si>
  <si>
    <t>Preservation:</t>
  </si>
  <si>
    <t>Mitigation Totals</t>
  </si>
  <si>
    <t>Nutrient Offset:</t>
  </si>
  <si>
    <t>Total Riparian Buffer:</t>
  </si>
  <si>
    <t>Riparian areas must be minimum 20' wide (from top of bank) for riparian buffer credit; riparian areas must be minimum 50' for nutrient offset credit.</t>
  </si>
  <si>
    <t xml:space="preserve">Ditches must be minimum 30' and maximum 50' for riparian buffer credit. </t>
  </si>
  <si>
    <t>Ephemeral channels may only comprise 25% of the total area of buffer mitigation and meet certain criteria.</t>
  </si>
  <si>
    <t>Ditches, grazing enhancement, coastal headwater and other alternative features must be evaluated by DWR and meet criteria of NCAC codes.</t>
  </si>
  <si>
    <t>5)     Features that have matching attributes for all the drop-down (blue) cells can be lumped as one row, but if there are differences in blue cells it should be broken out as a secondary row.</t>
  </si>
  <si>
    <t xml:space="preserve">6)     Type in Feature Name as a unique identifier for each row.  This name should match the unique name shown on any project map.  </t>
  </si>
  <si>
    <t xml:space="preserve">8)     If applicable, ensure that preservation areas and ephemeral reaches do not show errors at bottom of table.  </t>
  </si>
  <si>
    <r>
      <t>9)     If applicable, ensure d</t>
    </r>
    <r>
      <rPr>
        <sz val="10"/>
        <color rgb="FF000000"/>
        <rFont val="Calibri"/>
        <family val="2"/>
        <scheme val="minor"/>
      </rPr>
      <t>itch features conform to the riparian buffer rule and provide additional justification in project plan text</t>
    </r>
    <r>
      <rPr>
        <sz val="10"/>
        <color theme="1"/>
        <rFont val="Calibri"/>
        <family val="2"/>
        <scheme val="minor"/>
      </rPr>
      <t>.</t>
    </r>
  </si>
  <si>
    <t xml:space="preserve">10)   Paste Table 1 in project Mitigation Plan and/or Bank Parcel Development Plan (BPDP) document. </t>
  </si>
  <si>
    <t>— If this symbol         appears, the allowable creditable buffer preservation area or allowable creditable ephemeral buffer area may be exceeded.</t>
  </si>
  <si>
    <t xml:space="preserve">Nutrient Offset calculation based on effectiveness in 30 years, with DWR's 146.40 lb/ac P; and 2,273.02 lb/ac N.  </t>
  </si>
  <si>
    <t>2)     Select your service area for Table 1, in cell 3A.  This will set up your table for rules that apply to the project.</t>
  </si>
  <si>
    <t>3)     Select ‘Credit Type’ (blue cell) as proposed in Mitigation Plan or BPDP.  This selection triggers the calculations for the total mitigation credits (shown in the bottom summary box).</t>
  </si>
  <si>
    <t>— The "Subject?" column refers to streams shown on either the most recent version of the soil survey map prepared by the Natural Resources Conservation Service, United States Department</t>
  </si>
  <si>
    <t xml:space="preserve">of Agriculture or the most recent version of the 1:24,000 scale (7.5 minute) quadrangle topographic maps prepared by the United States Geologic Survey (USGS).  If a feature is ephemeral or </t>
  </si>
  <si>
    <t>identified as perennial or intermittent and is not shown on one of the maps referenced above, select "No" for this column.</t>
  </si>
  <si>
    <t>The N credit ratio used is 19.16394 sf per pound.  The P credit ratio used is 297.54099 sf per pound.  Alternative delivery factors for applicable service areas are embedded in the tool.</t>
  </si>
  <si>
    <t>1)     Revise Table 1 Title to include project name and number.</t>
  </si>
  <si>
    <t xml:space="preserve">4)     Select from the drop-down menus of each blue cell by feature.  Use the viability assessment and stream determination provided by DWR if necessary. </t>
  </si>
  <si>
    <t>The Tool Explained:</t>
  </si>
  <si>
    <t>Neuse 03020201 - Outside Falls Lake</t>
  </si>
  <si>
    <t>Neuse 03020201 - Lower Falls Lake</t>
  </si>
  <si>
    <t>Neuse 03020201 - Upper Falls Lake</t>
  </si>
  <si>
    <t>Convertible to Riparian Buffer?</t>
  </si>
  <si>
    <t>Delivered Nutrient Offset: N (lbs)</t>
  </si>
  <si>
    <t>Delivered Nutrient Offset: P (lbs)</t>
  </si>
  <si>
    <t>TOTAL AREA OF BUFFER MITIGATION (TABM)</t>
  </si>
  <si>
    <t>TOTAL NUTRIENT OFFSET MITIGATION</t>
  </si>
  <si>
    <r>
      <t xml:space="preserve">      </t>
    </r>
    <r>
      <rPr>
        <b/>
        <sz val="10"/>
        <color rgb="FF000000"/>
        <rFont val="Calibri"/>
        <family val="2"/>
        <scheme val="minor"/>
      </rPr>
      <t xml:space="preserve">  </t>
    </r>
    <r>
      <rPr>
        <b/>
        <sz val="10"/>
        <color rgb="FFFF0000"/>
        <rFont val="Calibri"/>
        <family val="2"/>
        <scheme val="minor"/>
      </rPr>
      <t xml:space="preserve"> from the Total Area column and buffer restoration, enhancement, etc. is calculated from the Total (Creditable) Area of Buffer Mitigation column.</t>
    </r>
  </si>
  <si>
    <r>
      <t xml:space="preserve">7)     Type in Total Area and Creditable Area for Buffer Mitigation based on surveyed/GIS measurement, rounded to the nearest square foot.  </t>
    </r>
    <r>
      <rPr>
        <b/>
        <sz val="10"/>
        <color rgb="FFFF0000"/>
        <rFont val="Calibri"/>
        <family val="2"/>
        <scheme val="minor"/>
      </rPr>
      <t>Please note that Nutrient Offset is calculated</t>
    </r>
    <r>
      <rPr>
        <b/>
        <sz val="10"/>
        <color rgb="FF000000"/>
        <rFont val="Calibri"/>
        <family val="2"/>
        <scheme val="minor"/>
      </rPr>
      <t xml:space="preserve"> 
</t>
    </r>
  </si>
  <si>
    <t xml:space="preserve">This tool is intended to calculate both riparian buffer credits and, where applicable, nutrient offset credits regardless of which credit type is proposed.  The "Credit Type" column indicates which credit (buffer or nutrient offset) is proposed in the Mitigation Plan or BPDP.  This selection determines which credits get applied to the “Total Mitigation Credits” summary box at the bottom of the sheet.  
For example, if buffer credits are proposed for a reach, select "Buffer" from the "Credit Type" column.  If the DWR Viability Letter identifies the reach as also viable for nutrient offset, select "Yes" for the column labeled "Convertible to Nutrient Offset?."  In this scenario, only the buffer credits will be summed in the total credits summary, but potential nutrient offset credits for the reach will be visible in the upper portion of the table.  If "No" is selected in the "Convertible..." column, then nutrient offset will not be calculated in either the upper portion of the table or the total credits summary. 
When using Jordan Credit Ratios, the delivery factors have already been applied and the N &amp; P amounts are in “delivered” pounds.
</t>
  </si>
  <si>
    <t>According to a March 2017 memo by DWR, Restoration (R) + Enhancement (E) + Preservation (P) = Total Area of Buffer Mitigation (TABM).</t>
  </si>
  <si>
    <t>Project Area</t>
  </si>
  <si>
    <r>
      <t>N Credit Conversion Ratio (ft</t>
    </r>
    <r>
      <rPr>
        <b/>
        <vertAlign val="superscript"/>
        <sz val="11"/>
        <color theme="1"/>
        <rFont val="Calibri"/>
        <family val="2"/>
        <scheme val="minor"/>
      </rPr>
      <t>2</t>
    </r>
    <r>
      <rPr>
        <b/>
        <sz val="11"/>
        <color theme="1"/>
        <rFont val="Calibri"/>
        <family val="2"/>
        <scheme val="minor"/>
      </rPr>
      <t>/pound)</t>
    </r>
  </si>
  <si>
    <r>
      <t>P Credit Conversion Ratio (ft</t>
    </r>
    <r>
      <rPr>
        <b/>
        <vertAlign val="superscript"/>
        <sz val="11"/>
        <color theme="1"/>
        <rFont val="Calibri"/>
        <family val="2"/>
        <scheme val="minor"/>
      </rPr>
      <t>2</t>
    </r>
    <r>
      <rPr>
        <b/>
        <sz val="11"/>
        <color theme="1"/>
        <rFont val="Calibri"/>
        <family val="2"/>
        <scheme val="minor"/>
      </rPr>
      <t>/pound)</t>
    </r>
  </si>
  <si>
    <r>
      <t>Total (Creditable) Area of Buffer Mitigation (ft</t>
    </r>
    <r>
      <rPr>
        <b/>
        <vertAlign val="superscript"/>
        <sz val="10"/>
        <color rgb="FF000000"/>
        <rFont val="Calibri"/>
        <family val="2"/>
        <scheme val="minor"/>
      </rPr>
      <t>2</t>
    </r>
    <r>
      <rPr>
        <b/>
        <sz val="10"/>
        <color rgb="FF000000"/>
        <rFont val="Calibri"/>
        <family val="2"/>
        <scheme val="minor"/>
      </rPr>
      <t>)</t>
    </r>
  </si>
  <si>
    <r>
      <t>Total Area (ft</t>
    </r>
    <r>
      <rPr>
        <b/>
        <vertAlign val="superscript"/>
        <sz val="10"/>
        <color rgb="FF000000"/>
        <rFont val="Calibri"/>
        <family val="2"/>
        <scheme val="minor"/>
      </rPr>
      <t>2</t>
    </r>
    <r>
      <rPr>
        <b/>
        <sz val="10"/>
        <color rgb="FF000000"/>
        <rFont val="Calibri"/>
        <family val="2"/>
        <scheme val="minor"/>
      </rPr>
      <t>)</t>
    </r>
  </si>
  <si>
    <r>
      <t>Total (Creditable) Area for Buffer Mitigation (ft</t>
    </r>
    <r>
      <rPr>
        <b/>
        <vertAlign val="superscript"/>
        <sz val="10"/>
        <color rgb="FF000000"/>
        <rFont val="Calibri"/>
        <family val="2"/>
        <scheme val="minor"/>
      </rPr>
      <t>2</t>
    </r>
    <r>
      <rPr>
        <b/>
        <sz val="10"/>
        <color rgb="FF000000"/>
        <rFont val="Calibri"/>
        <family val="2"/>
        <scheme val="minor"/>
      </rPr>
      <t>)</t>
    </r>
  </si>
  <si>
    <r>
      <t>Delivered Nitrogen Credit Conversion Ratio (ft</t>
    </r>
    <r>
      <rPr>
        <b/>
        <vertAlign val="superscript"/>
        <sz val="10"/>
        <color rgb="FF000000"/>
        <rFont val="Calibri"/>
        <family val="2"/>
        <scheme val="minor"/>
      </rPr>
      <t>2</t>
    </r>
    <r>
      <rPr>
        <b/>
        <sz val="10"/>
        <color rgb="FF000000"/>
        <rFont val="Calibri"/>
        <family val="2"/>
        <scheme val="minor"/>
      </rPr>
      <t>/pound)</t>
    </r>
  </si>
  <si>
    <r>
      <t>Delivered Phoshporus Credit Conversion Ratio (ft</t>
    </r>
    <r>
      <rPr>
        <b/>
        <vertAlign val="superscript"/>
        <sz val="10"/>
        <color rgb="FF000000"/>
        <rFont val="Calibri"/>
        <family val="2"/>
        <scheme val="minor"/>
      </rPr>
      <t>2</t>
    </r>
    <r>
      <rPr>
        <b/>
        <sz val="10"/>
        <color rgb="FF000000"/>
        <rFont val="Calibri"/>
        <family val="2"/>
        <scheme val="minor"/>
      </rPr>
      <t>/pound)</t>
    </r>
  </si>
  <si>
    <t xml:space="preserve">Delivered Nitrogen Credit Conversion Ratio </t>
  </si>
  <si>
    <t xml:space="preserve">Delivered Phoshporus Credit Conversion Ratio </t>
  </si>
  <si>
    <r>
      <t>(ft</t>
    </r>
    <r>
      <rPr>
        <b/>
        <vertAlign val="superscript"/>
        <sz val="10"/>
        <color theme="1"/>
        <rFont val="Calibri"/>
        <family val="2"/>
        <scheme val="minor"/>
      </rPr>
      <t>2</t>
    </r>
    <r>
      <rPr>
        <b/>
        <sz val="10"/>
        <color theme="1"/>
        <rFont val="Calibri"/>
        <family val="2"/>
        <scheme val="minor"/>
      </rPr>
      <t>/pound)</t>
    </r>
  </si>
  <si>
    <t xml:space="preserve">Nitrogen Credit Conversion Ratio </t>
  </si>
  <si>
    <t xml:space="preserve">Phoshporus Credit Conversion Ratio </t>
  </si>
  <si>
    <t>Instructions for completing Project  Credits Table:</t>
  </si>
  <si>
    <t>Table 1. [INSERT PROJECT NAME], [INSERT PROJECT NUMBER], Project Credits</t>
  </si>
  <si>
    <t>last updated 01/17/2020</t>
  </si>
  <si>
    <r>
      <t>Total Eligible Ephemeral Area (ft</t>
    </r>
    <r>
      <rPr>
        <b/>
        <vertAlign val="superscript"/>
        <sz val="11"/>
        <color theme="1"/>
        <rFont val="Calibri"/>
        <family val="2"/>
        <scheme val="minor"/>
      </rPr>
      <t>2</t>
    </r>
    <r>
      <rPr>
        <b/>
        <sz val="11"/>
        <color theme="1"/>
        <rFont val="Calibri"/>
        <family val="2"/>
        <scheme val="minor"/>
      </rPr>
      <t>):</t>
    </r>
  </si>
  <si>
    <r>
      <t>Total Eligible for Preservation (ft</t>
    </r>
    <r>
      <rPr>
        <b/>
        <vertAlign val="superscript"/>
        <sz val="11"/>
        <color theme="1"/>
        <rFont val="Calibri"/>
        <family val="2"/>
        <scheme val="minor"/>
      </rPr>
      <t>2</t>
    </r>
    <r>
      <rPr>
        <b/>
        <sz val="11"/>
        <color theme="1"/>
        <rFont val="Calibri"/>
        <family val="2"/>
        <scheme val="minor"/>
      </rPr>
      <t>):</t>
    </r>
  </si>
  <si>
    <t>Ephemeral Reaches as % TABM</t>
  </si>
  <si>
    <t>Preservation as % TABM</t>
  </si>
  <si>
    <r>
      <t>Preservation Area Subtotals (ft</t>
    </r>
    <r>
      <rPr>
        <b/>
        <vertAlign val="superscript"/>
        <sz val="11"/>
        <color theme="1"/>
        <rFont val="Calibri"/>
        <family val="2"/>
        <scheme val="minor"/>
      </rPr>
      <t>2</t>
    </r>
    <r>
      <rPr>
        <b/>
        <sz val="11"/>
        <color theme="1"/>
        <rFont val="Calibri"/>
        <family val="2"/>
        <scheme val="minor"/>
      </rPr>
      <t>):</t>
    </r>
  </si>
  <si>
    <t>Totals (ft2):</t>
  </si>
  <si>
    <t>Total Buffer (ft2):</t>
  </si>
  <si>
    <t>Total Nutrient Offset (ft2):</t>
  </si>
  <si>
    <r>
      <t>Total Ephemeral Area (ft</t>
    </r>
    <r>
      <rPr>
        <b/>
        <vertAlign val="superscript"/>
        <sz val="11"/>
        <color theme="1"/>
        <rFont val="Calibri"/>
        <family val="2"/>
        <scheme val="minor"/>
      </rPr>
      <t>2</t>
    </r>
    <r>
      <rPr>
        <b/>
        <sz val="11"/>
        <color theme="1"/>
        <rFont val="Calibri"/>
        <family val="2"/>
        <scheme val="minor"/>
      </rPr>
      <t>) for Credit: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</si>
</sst>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0000"/>
    <numFmt numFmtId="165" formatCode="#,##0.000"/>
    <numFmt numFmtId="166" formatCode="_(* #,##0_);_(* \(#,##0\);_(* &quot;-&quot;??_);_(@_)"/>
    <numFmt numFmtId="167" formatCode="_(* #,##0.000_);_(* \(#,##0.000\);_(* &quot;-&quot;??_);_(@_)"/>
    <numFmt numFmtId="168" formatCode="0.000"/>
    <numFmt numFmtId="169" formatCode="#,##0.00000"/>
    <numFmt numFmtId="170" formatCode="0.000000"/>
    <numFmt numFmtId="171" formatCode="0.0%"/>
    <numFmt numFmtId="172"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1"/>
      <color theme="1"/>
      <name val="Calibri"/>
      <family val="2"/>
    </font>
    <font>
      <i/>
      <sz val="10"/>
      <color theme="1"/>
      <name val="Calibri"/>
      <family val="2"/>
      <scheme val="minor"/>
    </font>
    <font>
      <i/>
      <sz val="10"/>
      <color rgb="FF000000"/>
      <name val="Calibri"/>
      <family val="2"/>
      <scheme val="minor"/>
    </font>
    <font>
      <sz val="10"/>
      <color rgb="FF000000"/>
      <name val="Calibri"/>
      <family val="2"/>
      <scheme val="minor"/>
    </font>
    <font>
      <b/>
      <u/>
      <sz val="10"/>
      <color theme="1"/>
      <name val="Calibri"/>
      <family val="2"/>
      <scheme val="minor"/>
    </font>
    <font>
      <b/>
      <vertAlign val="superscript"/>
      <sz val="10"/>
      <color theme="1"/>
      <name val="Calibri"/>
      <family val="2"/>
      <scheme val="minor"/>
    </font>
    <font>
      <sz val="10"/>
      <color theme="0" tint="-0.249977111117893"/>
      <name val="Calibri"/>
      <family val="2"/>
      <scheme val="minor"/>
    </font>
    <font>
      <b/>
      <sz val="12"/>
      <color theme="1"/>
      <name val="Calibri"/>
      <family val="2"/>
      <scheme val="minor"/>
    </font>
    <font>
      <b/>
      <u/>
      <sz val="12"/>
      <color theme="1"/>
      <name val="Calibri"/>
      <family val="2"/>
      <scheme val="minor"/>
    </font>
    <font>
      <sz val="9"/>
      <color theme="1"/>
      <name val="Calibri"/>
      <family val="2"/>
      <scheme val="minor"/>
    </font>
    <font>
      <b/>
      <sz val="10"/>
      <color rgb="FFFF0000"/>
      <name val="Calibri"/>
      <family val="2"/>
      <scheme val="minor"/>
    </font>
    <font>
      <u/>
      <sz val="11"/>
      <color theme="10"/>
      <name val="Calibri"/>
      <family val="2"/>
      <scheme val="minor"/>
    </font>
    <font>
      <u/>
      <sz val="10"/>
      <color theme="10"/>
      <name val="Calibri"/>
      <family val="2"/>
      <scheme val="minor"/>
    </font>
    <font>
      <b/>
      <vertAlign val="superscript"/>
      <sz val="11"/>
      <color theme="1"/>
      <name val="Calibri"/>
      <family val="2"/>
      <scheme val="minor"/>
    </font>
    <font>
      <b/>
      <vertAlign val="superscript"/>
      <sz val="10"/>
      <color rgb="FF000000"/>
      <name val="Calibri"/>
      <family val="2"/>
      <scheme val="minor"/>
    </font>
    <font>
      <sz val="11"/>
      <name val="Calibri"/>
      <family val="2"/>
      <scheme val="minor"/>
    </font>
    <font>
      <b/>
      <sz val="10"/>
      <name val="Calibri"/>
      <family val="2"/>
      <scheme val="minor"/>
    </font>
  </fonts>
  <fills count="12">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rgb="FFF6FD9D"/>
        <bgColor indexed="64"/>
      </patternFill>
    </fill>
    <fill>
      <patternFill patternType="solid">
        <fgColor theme="8"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style="thin">
        <color indexed="64"/>
      </left>
      <right style="thin">
        <color indexed="64"/>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43" fontId="1" fillId="0" borderId="0" applyFont="0" applyFill="0" applyBorder="0" applyAlignment="0" applyProtection="0"/>
    <xf numFmtId="0" fontId="17" fillId="0" borderId="0" applyNumberFormat="0" applyFill="0" applyBorder="0" applyAlignment="0" applyProtection="0"/>
  </cellStyleXfs>
  <cellXfs count="150">
    <xf numFmtId="0" fontId="0" fillId="0" borderId="0" xfId="0"/>
    <xf numFmtId="0" fontId="3" fillId="0" borderId="0" xfId="0" applyFont="1"/>
    <xf numFmtId="0" fontId="0" fillId="0" borderId="0" xfId="0" applyAlignment="1">
      <alignment horizontal="right"/>
    </xf>
    <xf numFmtId="0" fontId="5" fillId="8" borderId="1" xfId="0" applyFont="1" applyFill="1" applyBorder="1" applyAlignment="1">
      <alignment horizontal="center" vertical="center" wrapText="1"/>
    </xf>
    <xf numFmtId="170" fontId="0" fillId="0" borderId="0" xfId="0" applyNumberFormat="1"/>
    <xf numFmtId="169" fontId="0" fillId="0" borderId="0" xfId="0" applyNumberFormat="1"/>
    <xf numFmtId="4" fontId="0" fillId="0" borderId="0" xfId="0" applyNumberFormat="1" applyAlignment="1">
      <alignment horizontal="center"/>
    </xf>
    <xf numFmtId="0" fontId="3" fillId="6" borderId="1" xfId="0" applyFont="1" applyFill="1" applyBorder="1"/>
    <xf numFmtId="165" fontId="3" fillId="6" borderId="1" xfId="0" applyNumberFormat="1" applyFont="1" applyFill="1" applyBorder="1"/>
    <xf numFmtId="0" fontId="0" fillId="0" borderId="0" xfId="0" applyAlignment="1">
      <alignment vertical="center"/>
    </xf>
    <xf numFmtId="0" fontId="3" fillId="2" borderId="1" xfId="0" applyFont="1" applyFill="1" applyBorder="1"/>
    <xf numFmtId="165" fontId="3" fillId="2" borderId="1" xfId="0" applyNumberFormat="1" applyFont="1" applyFill="1" applyBorder="1"/>
    <xf numFmtId="0" fontId="3" fillId="5" borderId="1" xfId="0" applyFont="1" applyFill="1" applyBorder="1"/>
    <xf numFmtId="165" fontId="3" fillId="5" borderId="1" xfId="0" applyNumberFormat="1" applyFont="1" applyFill="1" applyBorder="1"/>
    <xf numFmtId="168" fontId="0" fillId="0" borderId="0" xfId="0" applyNumberFormat="1"/>
    <xf numFmtId="169" fontId="2" fillId="8" borderId="3" xfId="0" applyNumberFormat="1" applyFont="1" applyFill="1" applyBorder="1"/>
    <xf numFmtId="169" fontId="2" fillId="8" borderId="6" xfId="0" applyNumberFormat="1" applyFont="1" applyFill="1" applyBorder="1"/>
    <xf numFmtId="0" fontId="4" fillId="8" borderId="4" xfId="0" applyFont="1" applyFill="1" applyBorder="1" applyAlignment="1">
      <alignment horizontal="center" vertical="center" wrapText="1"/>
    </xf>
    <xf numFmtId="0" fontId="4" fillId="8" borderId="7" xfId="0" applyFont="1" applyFill="1" applyBorder="1" applyAlignment="1">
      <alignment vertical="center" wrapText="1"/>
    </xf>
    <xf numFmtId="9" fontId="4" fillId="8" borderId="7" xfId="0" applyNumberFormat="1" applyFont="1" applyFill="1" applyBorder="1" applyAlignment="1">
      <alignment horizontal="center" wrapText="1"/>
    </xf>
    <xf numFmtId="168" fontId="4" fillId="8" borderId="4" xfId="0" applyNumberFormat="1" applyFont="1" applyFill="1" applyBorder="1" applyAlignment="1">
      <alignment horizontal="center" wrapText="1"/>
    </xf>
    <xf numFmtId="170" fontId="5" fillId="8" borderId="4" xfId="0" applyNumberFormat="1" applyFont="1" applyFill="1" applyBorder="1" applyAlignment="1">
      <alignment horizontal="center" vertical="center" wrapText="1"/>
    </xf>
    <xf numFmtId="0" fontId="2" fillId="8" borderId="5" xfId="0" applyFont="1" applyFill="1" applyBorder="1" applyAlignment="1">
      <alignment horizontal="center" vertical="center" wrapText="1"/>
    </xf>
    <xf numFmtId="0" fontId="4" fillId="8" borderId="10" xfId="0" applyFont="1" applyFill="1" applyBorder="1" applyAlignment="1">
      <alignment vertical="center" wrapText="1"/>
    </xf>
    <xf numFmtId="9" fontId="4" fillId="8" borderId="10" xfId="0" applyNumberFormat="1" applyFont="1" applyFill="1" applyBorder="1" applyAlignment="1">
      <alignment horizontal="center" wrapText="1"/>
    </xf>
    <xf numFmtId="168" fontId="4" fillId="8" borderId="5" xfId="0" applyNumberFormat="1" applyFont="1" applyFill="1" applyBorder="1" applyAlignment="1">
      <alignment horizontal="center" wrapText="1"/>
    </xf>
    <xf numFmtId="170" fontId="4" fillId="8" borderId="5" xfId="0" applyNumberFormat="1" applyFont="1" applyFill="1" applyBorder="1" applyAlignment="1">
      <alignment horizontal="center" wrapText="1"/>
    </xf>
    <xf numFmtId="9" fontId="3" fillId="6" borderId="1" xfId="0" applyNumberFormat="1" applyFont="1" applyFill="1" applyBorder="1" applyAlignment="1">
      <alignment horizontal="center"/>
    </xf>
    <xf numFmtId="168" fontId="3" fillId="6" borderId="1" xfId="0" applyNumberFormat="1" applyFont="1" applyFill="1" applyBorder="1" applyAlignment="1">
      <alignment horizontal="center"/>
    </xf>
    <xf numFmtId="170" fontId="0" fillId="6" borderId="1" xfId="0" applyNumberFormat="1" applyFill="1" applyBorder="1"/>
    <xf numFmtId="169" fontId="0" fillId="6" borderId="1" xfId="0" applyNumberFormat="1" applyFill="1" applyBorder="1"/>
    <xf numFmtId="9" fontId="3" fillId="2" borderId="1" xfId="0" applyNumberFormat="1" applyFont="1" applyFill="1" applyBorder="1" applyAlignment="1">
      <alignment horizontal="center"/>
    </xf>
    <xf numFmtId="168" fontId="3" fillId="2" borderId="1" xfId="0" applyNumberFormat="1" applyFont="1" applyFill="1" applyBorder="1" applyAlignment="1">
      <alignment horizontal="center"/>
    </xf>
    <xf numFmtId="170" fontId="0" fillId="2" borderId="1" xfId="0" applyNumberFormat="1" applyFill="1" applyBorder="1"/>
    <xf numFmtId="169" fontId="0" fillId="2" borderId="1" xfId="0" applyNumberFormat="1" applyFill="1" applyBorder="1"/>
    <xf numFmtId="9" fontId="3" fillId="5" borderId="1" xfId="0" applyNumberFormat="1" applyFont="1" applyFill="1" applyBorder="1" applyAlignment="1">
      <alignment horizontal="center"/>
    </xf>
    <xf numFmtId="168" fontId="3" fillId="5" borderId="1" xfId="0" applyNumberFormat="1" applyFont="1" applyFill="1" applyBorder="1" applyAlignment="1">
      <alignment horizontal="center"/>
    </xf>
    <xf numFmtId="170" fontId="0" fillId="5" borderId="1" xfId="0" applyNumberFormat="1" applyFill="1" applyBorder="1"/>
    <xf numFmtId="169" fontId="0" fillId="5" borderId="1" xfId="0" applyNumberFormat="1" applyFill="1" applyBorder="1"/>
    <xf numFmtId="0" fontId="3" fillId="0" borderId="11" xfId="0" applyFont="1" applyBorder="1"/>
    <xf numFmtId="0" fontId="4" fillId="8" borderId="1" xfId="0" applyFont="1" applyFill="1" applyBorder="1" applyAlignment="1">
      <alignment horizontal="center" vertical="center"/>
    </xf>
    <xf numFmtId="49" fontId="6" fillId="9" borderId="1" xfId="0" applyNumberFormat="1" applyFont="1" applyFill="1" applyBorder="1"/>
    <xf numFmtId="0" fontId="0" fillId="3" borderId="1" xfId="0" applyFill="1" applyBorder="1" applyAlignment="1">
      <alignment horizontal="right"/>
    </xf>
    <xf numFmtId="49" fontId="6" fillId="3" borderId="1" xfId="0" applyNumberFormat="1" applyFont="1" applyFill="1" applyBorder="1"/>
    <xf numFmtId="169" fontId="5" fillId="8" borderId="4" xfId="0" applyNumberFormat="1" applyFont="1" applyFill="1" applyBorder="1" applyAlignment="1">
      <alignment horizontal="center" vertical="center" wrapText="1"/>
    </xf>
    <xf numFmtId="0" fontId="2" fillId="0" borderId="0" xfId="0" applyFont="1" applyAlignment="1">
      <alignment horizontal="right" vertical="center"/>
    </xf>
    <xf numFmtId="3" fontId="0" fillId="0" borderId="0" xfId="0" applyNumberForma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7" fillId="0" borderId="0" xfId="0" applyFont="1"/>
    <xf numFmtId="166" fontId="8" fillId="0" borderId="0" xfId="1" applyNumberFormat="1" applyFont="1" applyBorder="1" applyAlignment="1">
      <alignment horizontal="left" vertical="center"/>
    </xf>
    <xf numFmtId="0" fontId="3" fillId="0" borderId="0" xfId="0" applyFont="1" applyAlignment="1">
      <alignment horizontal="left"/>
    </xf>
    <xf numFmtId="0" fontId="4" fillId="4" borderId="1" xfId="0" applyFont="1" applyFill="1" applyBorder="1" applyAlignment="1">
      <alignment horizontal="center" vertical="center" wrapText="1"/>
    </xf>
    <xf numFmtId="168"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6" fontId="5" fillId="4" borderId="1" xfId="1" applyNumberFormat="1" applyFont="1" applyFill="1" applyBorder="1" applyAlignment="1">
      <alignment horizontal="center" vertical="center" wrapText="1"/>
    </xf>
    <xf numFmtId="167" fontId="5" fillId="4" borderId="1" xfId="1"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8" xfId="0" applyBorder="1" applyAlignment="1">
      <alignment horizontal="center" vertical="center"/>
    </xf>
    <xf numFmtId="9" fontId="0" fillId="0" borderId="0" xfId="0" applyNumberFormat="1" applyAlignment="1">
      <alignment horizontal="center" vertical="center"/>
    </xf>
    <xf numFmtId="164" fontId="0" fillId="0" borderId="0" xfId="0" applyNumberFormat="1" applyAlignment="1">
      <alignment horizontal="center" vertical="center"/>
    </xf>
    <xf numFmtId="165" fontId="0" fillId="0" borderId="0" xfId="0" applyNumberFormat="1" applyAlignment="1">
      <alignment horizontal="center" vertical="center"/>
    </xf>
    <xf numFmtId="0" fontId="2" fillId="0" borderId="0" xfId="0" applyFont="1" applyAlignment="1">
      <alignment vertical="center"/>
    </xf>
    <xf numFmtId="0" fontId="0" fillId="0" borderId="8" xfId="0" applyBorder="1" applyAlignment="1" applyProtection="1">
      <alignment horizontal="center" vertical="center"/>
      <protection locked="0"/>
    </xf>
    <xf numFmtId="0" fontId="2" fillId="4" borderId="1" xfId="0" applyFont="1" applyFill="1" applyBorder="1" applyAlignment="1">
      <alignment horizontal="right" vertical="center"/>
    </xf>
    <xf numFmtId="0" fontId="8" fillId="0" borderId="0" xfId="0" applyFont="1" applyAlignment="1">
      <alignment horizontal="left" vertical="center"/>
    </xf>
    <xf numFmtId="0" fontId="0" fillId="0" borderId="0" xfId="0" applyAlignment="1" applyProtection="1">
      <alignment vertical="center"/>
      <protection locked="0"/>
    </xf>
    <xf numFmtId="167" fontId="5" fillId="4" borderId="1" xfId="1" applyNumberFormat="1" applyFont="1" applyFill="1" applyBorder="1" applyAlignment="1" applyProtection="1">
      <alignment horizontal="center" vertical="center" wrapText="1"/>
    </xf>
    <xf numFmtId="0" fontId="0" fillId="0" borderId="9" xfId="0" applyBorder="1" applyAlignment="1">
      <alignment horizontal="center"/>
    </xf>
    <xf numFmtId="9" fontId="4" fillId="8" borderId="5" xfId="0" applyNumberFormat="1" applyFont="1" applyFill="1" applyBorder="1" applyAlignment="1">
      <alignment horizontal="center" wrapText="1"/>
    </xf>
    <xf numFmtId="169" fontId="2" fillId="8" borderId="3" xfId="0" applyNumberFormat="1" applyFont="1" applyFill="1" applyBorder="1" applyAlignment="1">
      <alignment horizontal="left"/>
    </xf>
    <xf numFmtId="169" fontId="2" fillId="8" borderId="6" xfId="0" applyNumberFormat="1" applyFont="1" applyFill="1" applyBorder="1" applyAlignment="1">
      <alignment horizontal="left"/>
    </xf>
    <xf numFmtId="166" fontId="9" fillId="0" borderId="0" xfId="1" applyNumberFormat="1" applyFont="1" applyBorder="1" applyAlignment="1">
      <alignment horizontal="left" vertical="center"/>
    </xf>
    <xf numFmtId="0" fontId="9" fillId="0" borderId="0" xfId="0" applyFont="1" applyAlignment="1">
      <alignment horizontal="left" vertical="center"/>
    </xf>
    <xf numFmtId="0" fontId="10" fillId="0" borderId="0" xfId="0" applyFont="1"/>
    <xf numFmtId="0" fontId="3" fillId="11" borderId="0" xfId="0" applyFont="1" applyFill="1" applyAlignment="1" applyProtection="1">
      <alignment horizontal="center" vertical="center"/>
      <protection locked="0"/>
    </xf>
    <xf numFmtId="3" fontId="3" fillId="10" borderId="0" xfId="0" applyNumberFormat="1" applyFont="1" applyFill="1" applyAlignment="1" applyProtection="1">
      <alignment horizontal="center" vertical="center"/>
      <protection locked="0"/>
    </xf>
    <xf numFmtId="0" fontId="9" fillId="0" borderId="0" xfId="0" applyFont="1" applyAlignment="1">
      <alignment vertical="center"/>
    </xf>
    <xf numFmtId="0" fontId="3" fillId="0" borderId="0" xfId="0" applyFont="1" applyAlignment="1">
      <alignment vertical="center"/>
    </xf>
    <xf numFmtId="0" fontId="9" fillId="0" borderId="0" xfId="0" applyFont="1"/>
    <xf numFmtId="166" fontId="3" fillId="0" borderId="0" xfId="1" applyNumberFormat="1" applyFont="1"/>
    <xf numFmtId="166" fontId="7" fillId="0" borderId="0" xfId="1" applyNumberFormat="1" applyFont="1"/>
    <xf numFmtId="0" fontId="3" fillId="11" borderId="1" xfId="0" applyFont="1" applyFill="1" applyBorder="1" applyAlignment="1" applyProtection="1">
      <alignment horizontal="center" vertical="center" wrapText="1"/>
      <protection locked="0"/>
    </xf>
    <xf numFmtId="0" fontId="3" fillId="11" borderId="1" xfId="0"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wrapText="1"/>
      <protection locked="0"/>
    </xf>
    <xf numFmtId="3" fontId="3" fillId="10" borderId="1"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0" fontId="12" fillId="4" borderId="4" xfId="0" applyFont="1" applyFill="1" applyBorder="1" applyAlignment="1" applyProtection="1">
      <alignment horizontal="center" vertical="center" wrapText="1"/>
      <protection locked="0"/>
    </xf>
    <xf numFmtId="0" fontId="3" fillId="10" borderId="1" xfId="0" applyFont="1" applyFill="1" applyBorder="1" applyAlignment="1" applyProtection="1">
      <alignment horizontal="center" vertical="center"/>
      <protection locked="0"/>
    </xf>
    <xf numFmtId="0" fontId="3" fillId="4" borderId="0" xfId="0" applyFont="1" applyFill="1" applyAlignment="1" applyProtection="1">
      <alignment vertical="center"/>
      <protection locked="0"/>
    </xf>
    <xf numFmtId="0" fontId="12" fillId="4" borderId="12" xfId="0" applyFont="1" applyFill="1" applyBorder="1" applyAlignment="1" applyProtection="1">
      <alignment horizontal="center" vertical="center" wrapText="1"/>
      <protection locked="0"/>
    </xf>
    <xf numFmtId="0" fontId="2" fillId="4" borderId="17" xfId="0" applyFont="1" applyFill="1" applyBorder="1" applyAlignment="1">
      <alignment horizontal="center" vertical="center"/>
    </xf>
    <xf numFmtId="165" fontId="3" fillId="0" borderId="17" xfId="0" applyNumberFormat="1" applyFont="1" applyBorder="1" applyAlignment="1">
      <alignment horizontal="center" vertical="center"/>
    </xf>
    <xf numFmtId="0" fontId="2" fillId="4" borderId="19" xfId="0" applyFont="1" applyFill="1" applyBorder="1" applyAlignment="1">
      <alignment horizontal="right" vertical="center"/>
    </xf>
    <xf numFmtId="165" fontId="3" fillId="0" borderId="20" xfId="0" applyNumberFormat="1" applyFont="1" applyBorder="1" applyAlignment="1">
      <alignment horizontal="center" vertical="center"/>
    </xf>
    <xf numFmtId="0" fontId="3" fillId="0" borderId="0" xfId="0" applyFont="1" applyAlignment="1">
      <alignment horizontal="left" vertical="center" wrapText="1"/>
    </xf>
    <xf numFmtId="0" fontId="14" fillId="0" borderId="0" xfId="0" applyFont="1"/>
    <xf numFmtId="0" fontId="3" fillId="0" borderId="0" xfId="0" applyFont="1" applyAlignment="1">
      <alignment horizontal="left" vertical="center"/>
    </xf>
    <xf numFmtId="0" fontId="13" fillId="0" borderId="0" xfId="0" applyFont="1" applyAlignment="1" applyProtection="1">
      <alignment horizontal="left" vertical="center"/>
      <protection locked="0"/>
    </xf>
    <xf numFmtId="0" fontId="15" fillId="0" borderId="0" xfId="0" applyFont="1"/>
    <xf numFmtId="0" fontId="2" fillId="4" borderId="1" xfId="0" applyFont="1" applyFill="1" applyBorder="1" applyAlignment="1">
      <alignment horizontal="center" vertical="center"/>
    </xf>
    <xf numFmtId="0" fontId="0" fillId="0" borderId="1" xfId="0" applyBorder="1"/>
    <xf numFmtId="0" fontId="18" fillId="0" borderId="0" xfId="2" applyFont="1" applyAlignment="1">
      <alignment horizontal="left" vertical="center"/>
    </xf>
    <xf numFmtId="0" fontId="5" fillId="4" borderId="1" xfId="1" applyNumberFormat="1" applyFont="1" applyFill="1" applyBorder="1" applyAlignment="1">
      <alignment horizontal="center" vertical="center" wrapText="1"/>
    </xf>
    <xf numFmtId="0" fontId="2" fillId="0" borderId="0" xfId="0" applyFont="1" applyAlignment="1" applyProtection="1">
      <alignment horizontal="right" vertical="center"/>
      <protection locked="0"/>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0" fillId="0" borderId="0" xfId="0" applyAlignment="1" applyProtection="1">
      <alignment vertical="center" wrapText="1"/>
      <protection locked="0"/>
    </xf>
    <xf numFmtId="3"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165" fontId="4" fillId="0" borderId="4" xfId="0" applyNumberFormat="1" applyFont="1" applyBorder="1" applyAlignment="1">
      <alignment horizontal="center" vertical="center"/>
    </xf>
    <xf numFmtId="171" fontId="4" fillId="0" borderId="1" xfId="0" applyNumberFormat="1" applyFont="1" applyBorder="1" applyAlignment="1">
      <alignment horizontal="center" vertical="center"/>
    </xf>
    <xf numFmtId="3" fontId="0" fillId="0" borderId="0" xfId="0" applyNumberFormat="1" applyAlignment="1">
      <alignment vertical="center"/>
    </xf>
    <xf numFmtId="0" fontId="21" fillId="0" borderId="0" xfId="0" applyFont="1" applyAlignment="1">
      <alignment vertical="center"/>
    </xf>
    <xf numFmtId="0" fontId="21" fillId="0" borderId="0" xfId="0" applyFont="1" applyAlignment="1">
      <alignment horizontal="center" vertical="center"/>
    </xf>
    <xf numFmtId="172" fontId="0" fillId="0" borderId="0" xfId="0" applyNumberFormat="1" applyAlignment="1">
      <alignment horizontal="center" vertical="center"/>
    </xf>
    <xf numFmtId="3" fontId="22" fillId="3" borderId="1" xfId="0" applyNumberFormat="1" applyFont="1" applyFill="1" applyBorder="1" applyAlignment="1">
      <alignment horizontal="center" vertical="center"/>
    </xf>
    <xf numFmtId="3" fontId="4" fillId="0" borderId="0" xfId="0" applyNumberFormat="1" applyFont="1" applyAlignment="1">
      <alignment horizontal="center" vertical="center"/>
    </xf>
    <xf numFmtId="0" fontId="3" fillId="0" borderId="0" xfId="0" applyFont="1" applyAlignment="1">
      <alignment horizontal="left" vertical="center" wrapText="1"/>
    </xf>
    <xf numFmtId="0" fontId="3" fillId="11" borderId="3" xfId="0" applyFont="1" applyFill="1" applyBorder="1" applyAlignment="1" applyProtection="1">
      <alignment horizontal="center" vertical="center"/>
      <protection locked="0"/>
    </xf>
    <xf numFmtId="0" fontId="3" fillId="11" borderId="2" xfId="0" applyFont="1" applyFill="1" applyBorder="1" applyAlignment="1" applyProtection="1">
      <alignment horizontal="center" vertical="center"/>
      <protection locked="0"/>
    </xf>
    <xf numFmtId="0" fontId="3" fillId="11" borderId="6"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2" fillId="4" borderId="18"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 xfId="0" applyFont="1" applyFill="1" applyBorder="1" applyAlignment="1">
      <alignment horizontal="center" vertical="center"/>
    </xf>
    <xf numFmtId="3" fontId="3" fillId="0" borderId="4" xfId="0" applyNumberFormat="1" applyFont="1" applyBorder="1" applyAlignment="1">
      <alignment horizontal="center" vertical="center"/>
    </xf>
    <xf numFmtId="3" fontId="3" fillId="0" borderId="25" xfId="0" applyNumberFormat="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2" fillId="0" borderId="9" xfId="0" applyFont="1" applyBorder="1" applyAlignment="1">
      <alignment horizontal="center" vertical="center"/>
    </xf>
    <xf numFmtId="0" fontId="2" fillId="0" borderId="23" xfId="0" applyFont="1" applyBorder="1" applyAlignment="1">
      <alignment horizontal="center" vertical="center"/>
    </xf>
    <xf numFmtId="0" fontId="2" fillId="4" borderId="21"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4" fillId="7" borderId="0" xfId="0" applyFont="1" applyFill="1" applyAlignment="1">
      <alignment wrapText="1"/>
    </xf>
    <xf numFmtId="0" fontId="2" fillId="0" borderId="0" xfId="0" applyFont="1" applyAlignment="1">
      <alignment wrapText="1"/>
    </xf>
    <xf numFmtId="0" fontId="0" fillId="0" borderId="0" xfId="0"/>
  </cellXfs>
  <cellStyles count="3">
    <cellStyle name="Comma" xfId="1" builtinId="3"/>
    <cellStyle name="Hyperlink" xfId="2" builtinId="8"/>
    <cellStyle name="Normal" xfId="0" builtinId="0"/>
  </cellStyles>
  <dxfs count="3">
    <dxf>
      <font>
        <color rgb="FF9C0006"/>
      </font>
    </dxf>
    <dxf>
      <font>
        <color rgb="FF9C0006"/>
      </font>
    </dxf>
    <dxf>
      <font>
        <color rgb="FF9C0006"/>
      </font>
    </dxf>
  </dxfs>
  <tableStyles count="0" defaultTableStyle="TableStyleMedium2" defaultPivotStyle="PivotStyleLight16"/>
  <colors>
    <mruColors>
      <color rgb="FF99FF99"/>
      <color rgb="FF9BDFFD"/>
      <color rgb="FF9ACEFE"/>
      <color rgb="FF9AD8FE"/>
      <color rgb="FF99CCFF"/>
      <color rgb="FFF6FD9D"/>
      <color rgb="FF99FFCC"/>
      <color rgb="FF00FF00"/>
      <color rgb="FF0EF2F2"/>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278079</xdr:colOff>
      <xdr:row>27</xdr:row>
      <xdr:rowOff>33473</xdr:rowOff>
    </xdr:from>
    <xdr:to>
      <xdr:col>1</xdr:col>
      <xdr:colOff>422859</xdr:colOff>
      <xdr:row>27</xdr:row>
      <xdr:rowOff>177062</xdr:rowOff>
    </xdr:to>
    <xdr:pic>
      <xdr:nvPicPr>
        <xdr:cNvPr id="3" name="Picture 2">
          <a:extLst>
            <a:ext uri="{FF2B5EF4-FFF2-40B4-BE49-F238E27FC236}">
              <a16:creationId xmlns:a16="http://schemas.microsoft.com/office/drawing/2014/main" id="{5780DCEA-B6B7-496D-9972-E41311A5F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992" y="3089756"/>
          <a:ext cx="144780" cy="1435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iles.nc.gov/ncdeq/Water%20Quality/Surface%20Water%20Protection/401/Mitigation/SKM_C224e1703221303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7"/>
  <sheetViews>
    <sheetView view="pageBreakPreview" topLeftCell="A22" zoomScale="115" zoomScaleNormal="100" zoomScaleSheetLayoutView="115" workbookViewId="0">
      <selection activeCell="D34" sqref="D34:D35"/>
    </sheetView>
  </sheetViews>
  <sheetFormatPr defaultRowHeight="14.4" x14ac:dyDescent="0.3"/>
  <cols>
    <col min="16" max="16" width="9.109375" customWidth="1"/>
  </cols>
  <sheetData>
    <row r="1" spans="1:21" ht="15.75" customHeight="1" x14ac:dyDescent="0.3">
      <c r="A1" s="102" t="s">
        <v>212</v>
      </c>
    </row>
    <row r="2" spans="1:21" x14ac:dyDescent="0.3">
      <c r="A2" s="126" t="s">
        <v>223</v>
      </c>
      <c r="B2" s="126"/>
      <c r="C2" s="126"/>
      <c r="D2" s="126"/>
      <c r="E2" s="126"/>
      <c r="F2" s="126"/>
      <c r="G2" s="126"/>
      <c r="H2" s="126"/>
      <c r="I2" s="126"/>
      <c r="J2" s="126"/>
      <c r="K2" s="126"/>
      <c r="L2" s="126"/>
      <c r="M2" s="126"/>
      <c r="N2" s="126"/>
      <c r="O2" s="126"/>
      <c r="P2" s="126"/>
    </row>
    <row r="3" spans="1:21" x14ac:dyDescent="0.3">
      <c r="A3" s="126"/>
      <c r="B3" s="126"/>
      <c r="C3" s="126"/>
      <c r="D3" s="126"/>
      <c r="E3" s="126"/>
      <c r="F3" s="126"/>
      <c r="G3" s="126"/>
      <c r="H3" s="126"/>
      <c r="I3" s="126"/>
      <c r="J3" s="126"/>
      <c r="K3" s="126"/>
      <c r="L3" s="126"/>
      <c r="M3" s="126"/>
      <c r="N3" s="126"/>
      <c r="O3" s="126"/>
      <c r="P3" s="126"/>
    </row>
    <row r="4" spans="1:21" ht="12.75" customHeight="1" x14ac:dyDescent="0.3">
      <c r="A4" s="126"/>
      <c r="B4" s="126"/>
      <c r="C4" s="126"/>
      <c r="D4" s="126"/>
      <c r="E4" s="126"/>
      <c r="F4" s="126"/>
      <c r="G4" s="126"/>
      <c r="H4" s="126"/>
      <c r="I4" s="126"/>
      <c r="J4" s="126"/>
      <c r="K4" s="126"/>
      <c r="L4" s="126"/>
      <c r="M4" s="126"/>
      <c r="N4" s="126"/>
      <c r="O4" s="126"/>
      <c r="P4" s="126"/>
    </row>
    <row r="5" spans="1:21" x14ac:dyDescent="0.3">
      <c r="A5" s="126"/>
      <c r="B5" s="126"/>
      <c r="C5" s="126"/>
      <c r="D5" s="126"/>
      <c r="E5" s="126"/>
      <c r="F5" s="126"/>
      <c r="G5" s="126"/>
      <c r="H5" s="126"/>
      <c r="I5" s="126"/>
      <c r="J5" s="126"/>
      <c r="K5" s="126"/>
      <c r="L5" s="126"/>
      <c r="M5" s="126"/>
      <c r="N5" s="126"/>
      <c r="O5" s="126"/>
      <c r="P5" s="126"/>
    </row>
    <row r="6" spans="1:21" x14ac:dyDescent="0.3">
      <c r="A6" s="126"/>
      <c r="B6" s="126"/>
      <c r="C6" s="126"/>
      <c r="D6" s="126"/>
      <c r="E6" s="126"/>
      <c r="F6" s="126"/>
      <c r="G6" s="126"/>
      <c r="H6" s="126"/>
      <c r="I6" s="126"/>
      <c r="J6" s="126"/>
      <c r="K6" s="126"/>
      <c r="L6" s="126"/>
      <c r="M6" s="126"/>
      <c r="N6" s="126"/>
      <c r="O6" s="126"/>
      <c r="P6" s="126"/>
    </row>
    <row r="7" spans="1:21" x14ac:dyDescent="0.3">
      <c r="A7" s="126"/>
      <c r="B7" s="126"/>
      <c r="C7" s="126"/>
      <c r="D7" s="126"/>
      <c r="E7" s="126"/>
      <c r="F7" s="126"/>
      <c r="G7" s="126"/>
      <c r="H7" s="126"/>
      <c r="I7" s="126"/>
      <c r="J7" s="126"/>
      <c r="K7" s="126"/>
      <c r="L7" s="126"/>
      <c r="M7" s="126"/>
      <c r="N7" s="126"/>
      <c r="O7" s="126"/>
      <c r="P7" s="126"/>
      <c r="Q7" s="1"/>
      <c r="R7" s="1"/>
      <c r="S7" s="1"/>
      <c r="T7" s="1"/>
      <c r="U7" s="1"/>
    </row>
    <row r="8" spans="1:21" x14ac:dyDescent="0.3">
      <c r="A8" s="126"/>
      <c r="B8" s="126"/>
      <c r="C8" s="126"/>
      <c r="D8" s="126"/>
      <c r="E8" s="126"/>
      <c r="F8" s="126"/>
      <c r="G8" s="126"/>
      <c r="H8" s="126"/>
      <c r="I8" s="126"/>
      <c r="J8" s="126"/>
      <c r="K8" s="126"/>
      <c r="L8" s="126"/>
      <c r="M8" s="126"/>
      <c r="N8" s="126"/>
      <c r="O8" s="126"/>
      <c r="P8" s="126"/>
      <c r="Q8" s="1"/>
      <c r="R8" s="1"/>
      <c r="S8" s="1"/>
      <c r="T8" s="1"/>
      <c r="U8" s="1"/>
    </row>
    <row r="9" spans="1:21" x14ac:dyDescent="0.3">
      <c r="A9" s="108" t="s">
        <v>224</v>
      </c>
      <c r="B9" s="103"/>
      <c r="C9" s="103"/>
      <c r="D9" s="103"/>
      <c r="E9" s="103"/>
      <c r="F9" s="103"/>
      <c r="G9" s="103"/>
      <c r="H9" s="103"/>
      <c r="I9" s="103"/>
      <c r="J9" s="103"/>
      <c r="K9" s="103"/>
      <c r="L9" s="103"/>
      <c r="M9" s="103"/>
      <c r="N9" s="103"/>
      <c r="O9" s="103"/>
      <c r="P9" s="103"/>
      <c r="Q9" s="1"/>
      <c r="R9" s="1"/>
      <c r="S9" s="1"/>
      <c r="T9" s="1"/>
      <c r="U9" s="1"/>
    </row>
    <row r="10" spans="1:21" ht="21.75" customHeight="1" x14ac:dyDescent="0.3">
      <c r="A10" s="102" t="s">
        <v>238</v>
      </c>
      <c r="B10" s="1"/>
      <c r="C10" s="1"/>
      <c r="D10" s="1"/>
      <c r="E10" s="1"/>
      <c r="F10" s="1"/>
      <c r="G10" s="1"/>
      <c r="H10" s="1"/>
      <c r="I10" s="1"/>
      <c r="J10" s="1"/>
      <c r="K10" s="1"/>
      <c r="L10" s="1"/>
      <c r="M10" s="1"/>
      <c r="N10" s="1"/>
      <c r="O10" s="1"/>
      <c r="P10" s="1"/>
      <c r="Q10" s="1"/>
      <c r="R10" s="1"/>
      <c r="S10" s="1"/>
      <c r="T10" s="1"/>
      <c r="U10" s="1"/>
    </row>
    <row r="11" spans="1:21" x14ac:dyDescent="0.3">
      <c r="A11" s="1" t="s">
        <v>210</v>
      </c>
      <c r="B11" s="1"/>
      <c r="C11" s="1"/>
      <c r="D11" s="1"/>
      <c r="E11" s="1"/>
      <c r="F11" s="1"/>
      <c r="G11" s="1"/>
      <c r="H11" s="1"/>
      <c r="I11" s="1"/>
      <c r="J11" s="1"/>
      <c r="K11" s="1"/>
      <c r="L11" s="1"/>
      <c r="M11" s="1"/>
      <c r="N11" s="1"/>
      <c r="O11" s="1"/>
      <c r="P11" s="1"/>
      <c r="Q11" s="1"/>
      <c r="R11" s="1"/>
      <c r="S11" s="1"/>
      <c r="T11" s="1"/>
      <c r="U11" s="1"/>
    </row>
    <row r="12" spans="1:21" x14ac:dyDescent="0.3">
      <c r="A12" s="79" t="s">
        <v>204</v>
      </c>
      <c r="B12" s="1"/>
      <c r="C12" s="1"/>
      <c r="D12" s="1"/>
      <c r="E12" s="1"/>
      <c r="F12" s="1"/>
      <c r="G12" s="1"/>
      <c r="H12" s="1"/>
      <c r="I12" s="1"/>
      <c r="J12" s="1"/>
      <c r="K12" s="1"/>
      <c r="L12" s="1"/>
      <c r="M12" s="1"/>
      <c r="N12" s="1"/>
      <c r="O12" s="1"/>
      <c r="P12" s="1"/>
      <c r="Q12" s="1"/>
      <c r="R12" s="1"/>
      <c r="S12" s="1"/>
      <c r="T12" s="1"/>
      <c r="U12" s="1"/>
    </row>
    <row r="13" spans="1:21" x14ac:dyDescent="0.3">
      <c r="A13" s="79" t="s">
        <v>205</v>
      </c>
      <c r="B13" s="1"/>
      <c r="C13" s="1"/>
      <c r="D13" s="1"/>
      <c r="E13" s="1"/>
      <c r="F13" s="1"/>
      <c r="G13" s="1"/>
      <c r="H13" s="1"/>
      <c r="I13" s="1"/>
      <c r="J13" s="1"/>
      <c r="K13" s="1"/>
      <c r="L13" s="1"/>
      <c r="M13" s="1"/>
      <c r="N13" s="1"/>
      <c r="O13" s="1"/>
      <c r="P13" s="1"/>
      <c r="Q13" s="1"/>
      <c r="R13" s="1"/>
      <c r="S13" s="1"/>
      <c r="T13" s="1"/>
      <c r="U13" s="1"/>
    </row>
    <row r="14" spans="1:21" ht="14.4" customHeight="1" x14ac:dyDescent="0.3">
      <c r="A14" s="79" t="s">
        <v>211</v>
      </c>
      <c r="B14" s="1"/>
      <c r="C14" s="1"/>
      <c r="D14" s="1"/>
      <c r="E14" s="1"/>
      <c r="F14" s="1"/>
      <c r="G14" s="1"/>
      <c r="H14" s="1"/>
      <c r="I14" s="1"/>
      <c r="J14" s="1"/>
      <c r="K14" s="1"/>
      <c r="L14" s="1"/>
      <c r="M14" s="1"/>
      <c r="N14" s="1"/>
      <c r="O14" s="1"/>
      <c r="P14" s="1"/>
      <c r="Q14" s="1"/>
      <c r="R14" s="1"/>
      <c r="S14" s="1"/>
      <c r="T14" s="1"/>
      <c r="U14" s="1"/>
    </row>
    <row r="15" spans="1:21" x14ac:dyDescent="0.3">
      <c r="A15" s="79" t="s">
        <v>197</v>
      </c>
      <c r="B15" s="1"/>
      <c r="C15" s="1"/>
      <c r="D15" s="1"/>
      <c r="E15" s="1"/>
      <c r="F15" s="1"/>
      <c r="G15" s="1"/>
      <c r="H15" s="1"/>
      <c r="I15" s="1"/>
      <c r="J15" s="1"/>
      <c r="K15" s="1"/>
      <c r="L15" s="1"/>
      <c r="M15" s="1"/>
      <c r="N15" s="1"/>
      <c r="O15" s="1"/>
      <c r="P15" s="1"/>
      <c r="Q15" s="1"/>
      <c r="R15" s="1"/>
      <c r="S15" s="1"/>
      <c r="T15" s="1"/>
      <c r="U15" s="1"/>
    </row>
    <row r="16" spans="1:21" ht="15.6" customHeight="1" x14ac:dyDescent="0.3">
      <c r="A16" s="79" t="s">
        <v>198</v>
      </c>
      <c r="B16" s="1"/>
      <c r="C16" s="1"/>
      <c r="D16" s="1"/>
      <c r="E16" s="1"/>
      <c r="F16" s="1"/>
      <c r="G16" s="1"/>
      <c r="H16" s="1"/>
      <c r="I16" s="1"/>
      <c r="J16" s="1"/>
      <c r="K16" s="1"/>
      <c r="L16" s="1"/>
      <c r="M16" s="1"/>
      <c r="N16" s="1"/>
      <c r="O16" s="1"/>
      <c r="P16" s="1"/>
      <c r="Q16" s="1"/>
      <c r="R16" s="1"/>
      <c r="S16" s="1"/>
      <c r="T16" s="1"/>
      <c r="U16" s="1"/>
    </row>
    <row r="17" spans="1:21" x14ac:dyDescent="0.3">
      <c r="A17" s="79" t="s">
        <v>222</v>
      </c>
      <c r="B17" s="1"/>
      <c r="C17" s="1"/>
      <c r="D17" s="1"/>
      <c r="E17" s="1"/>
      <c r="F17" s="1"/>
      <c r="G17" s="1"/>
      <c r="H17" s="1"/>
      <c r="I17" s="1"/>
      <c r="J17" s="1"/>
      <c r="K17" s="1"/>
      <c r="L17" s="1"/>
      <c r="M17" s="1"/>
      <c r="N17" s="1"/>
      <c r="O17" s="1"/>
      <c r="P17" s="1"/>
      <c r="Q17" s="1"/>
      <c r="R17" s="1"/>
      <c r="S17" s="1"/>
      <c r="T17" s="1"/>
      <c r="U17" s="1"/>
    </row>
    <row r="18" spans="1:21" x14ac:dyDescent="0.3">
      <c r="A18" s="79" t="s">
        <v>221</v>
      </c>
      <c r="B18" s="1"/>
      <c r="C18" s="1"/>
      <c r="D18" s="1"/>
      <c r="E18" s="1"/>
      <c r="F18" s="1"/>
      <c r="G18" s="1"/>
      <c r="H18" s="1"/>
      <c r="I18" s="1"/>
      <c r="J18" s="1"/>
      <c r="K18" s="1"/>
      <c r="L18" s="1"/>
      <c r="M18" s="1"/>
      <c r="N18" s="1"/>
      <c r="O18" s="1"/>
      <c r="P18" s="1"/>
      <c r="Q18" s="1"/>
      <c r="R18" s="1"/>
      <c r="S18" s="1"/>
      <c r="T18" s="1"/>
      <c r="U18" s="1"/>
    </row>
    <row r="19" spans="1:21" x14ac:dyDescent="0.3">
      <c r="A19" s="79" t="s">
        <v>199</v>
      </c>
      <c r="B19" s="1"/>
      <c r="C19" s="1"/>
      <c r="D19" s="1"/>
      <c r="E19" s="1"/>
      <c r="F19" s="1"/>
      <c r="G19" s="1"/>
      <c r="H19" s="1"/>
      <c r="I19" s="1"/>
      <c r="J19" s="1"/>
      <c r="K19" s="1"/>
      <c r="L19" s="1"/>
      <c r="M19" s="1"/>
      <c r="N19" s="1"/>
      <c r="O19" s="1"/>
      <c r="P19" s="1"/>
      <c r="Q19" s="1"/>
      <c r="R19" s="1"/>
      <c r="S19" s="1"/>
      <c r="T19" s="1"/>
      <c r="U19" s="1"/>
    </row>
    <row r="20" spans="1:21" x14ac:dyDescent="0.3">
      <c r="A20" s="80" t="s">
        <v>200</v>
      </c>
      <c r="B20" s="1"/>
      <c r="C20" s="1"/>
      <c r="D20" s="1"/>
      <c r="E20" s="1"/>
      <c r="F20" s="1"/>
      <c r="G20" s="1"/>
      <c r="H20" s="1"/>
      <c r="I20" s="1"/>
      <c r="J20" s="1"/>
      <c r="K20" s="1"/>
      <c r="L20" s="1"/>
      <c r="M20" s="1"/>
      <c r="N20" s="1"/>
      <c r="O20" s="1"/>
      <c r="P20" s="1"/>
      <c r="Q20" s="1"/>
      <c r="R20" s="1"/>
      <c r="S20" s="1"/>
      <c r="T20" s="1"/>
      <c r="U20" s="1"/>
    </row>
    <row r="21" spans="1:21" x14ac:dyDescent="0.3">
      <c r="A21" s="81" t="s">
        <v>201</v>
      </c>
      <c r="B21" s="1"/>
      <c r="C21" s="1"/>
      <c r="D21" s="1"/>
      <c r="E21" s="1"/>
      <c r="F21" s="1"/>
      <c r="G21" s="1"/>
      <c r="H21" s="1"/>
      <c r="I21" s="1"/>
      <c r="J21" s="1"/>
      <c r="K21" s="1"/>
      <c r="L21" s="1"/>
      <c r="M21" s="1"/>
      <c r="N21" s="1"/>
      <c r="O21" s="1"/>
      <c r="P21" s="1"/>
      <c r="Q21" s="1"/>
      <c r="R21" s="1"/>
      <c r="S21" s="1"/>
      <c r="T21" s="1"/>
      <c r="U21" s="1"/>
    </row>
    <row r="22" spans="1:21" x14ac:dyDescent="0.3">
      <c r="B22" s="1"/>
      <c r="C22" s="1"/>
      <c r="D22" s="1"/>
      <c r="E22" s="1"/>
      <c r="F22" s="1"/>
      <c r="G22" s="1"/>
      <c r="H22" s="1"/>
      <c r="I22" s="1"/>
      <c r="J22" s="1"/>
      <c r="K22" s="1"/>
      <c r="L22" s="1"/>
      <c r="M22" s="1"/>
      <c r="N22" s="1"/>
      <c r="O22" s="1"/>
      <c r="P22" s="1"/>
      <c r="Q22" s="1"/>
      <c r="R22" s="1"/>
      <c r="S22" s="1"/>
      <c r="T22" s="1"/>
      <c r="U22" s="1"/>
    </row>
    <row r="23" spans="1:21" x14ac:dyDescent="0.3">
      <c r="A23" s="81"/>
      <c r="B23" s="1"/>
      <c r="C23" s="1"/>
      <c r="D23" s="1"/>
      <c r="E23" s="1"/>
      <c r="F23" s="1"/>
      <c r="G23" s="1"/>
      <c r="H23" s="1"/>
      <c r="I23" s="1"/>
      <c r="J23" s="1"/>
      <c r="K23" s="1"/>
      <c r="L23" s="1"/>
      <c r="M23" s="1"/>
      <c r="N23" s="1"/>
      <c r="O23" s="1"/>
      <c r="P23" s="1"/>
      <c r="Q23" s="1"/>
      <c r="R23" s="1"/>
      <c r="S23" s="1"/>
      <c r="T23" s="1"/>
      <c r="U23" s="1"/>
    </row>
    <row r="24" spans="1:21" ht="15.6" x14ac:dyDescent="0.3">
      <c r="A24" s="102" t="s">
        <v>167</v>
      </c>
      <c r="B24" s="76"/>
      <c r="C24" s="1"/>
      <c r="D24" s="1"/>
      <c r="E24" s="1"/>
      <c r="F24" s="1"/>
      <c r="G24" s="1"/>
      <c r="H24" s="1"/>
      <c r="I24" s="1"/>
      <c r="J24" s="1"/>
      <c r="K24" s="1"/>
      <c r="L24" s="1"/>
      <c r="M24" s="1"/>
      <c r="N24" s="1"/>
      <c r="O24" s="1"/>
      <c r="P24" s="1"/>
      <c r="Q24" s="1"/>
      <c r="R24" s="1"/>
      <c r="S24" s="1"/>
      <c r="T24" s="1"/>
      <c r="U24" s="1"/>
    </row>
    <row r="25" spans="1:21" x14ac:dyDescent="0.3">
      <c r="A25" s="1" t="s">
        <v>168</v>
      </c>
      <c r="B25" s="1"/>
      <c r="C25" s="1"/>
      <c r="D25" s="1"/>
      <c r="E25" s="1"/>
      <c r="F25" s="1"/>
      <c r="G25" s="1"/>
      <c r="H25" s="77"/>
      <c r="I25" s="1"/>
      <c r="J25" s="1"/>
      <c r="K25" s="1"/>
      <c r="L25" s="1"/>
      <c r="M25" s="1"/>
      <c r="N25" s="1"/>
      <c r="O25" s="1"/>
      <c r="P25" s="1"/>
      <c r="Q25" s="1"/>
      <c r="R25" s="1"/>
      <c r="S25" s="1"/>
      <c r="T25" s="1"/>
      <c r="U25" s="1"/>
    </row>
    <row r="26" spans="1:21" x14ac:dyDescent="0.3">
      <c r="A26" s="1" t="s">
        <v>169</v>
      </c>
      <c r="B26" s="1"/>
      <c r="C26" s="1"/>
      <c r="D26" s="1"/>
      <c r="E26" s="1"/>
      <c r="F26" s="1"/>
      <c r="G26" s="78"/>
      <c r="H26" s="1"/>
      <c r="I26" s="1"/>
      <c r="J26" s="1"/>
      <c r="K26" s="1"/>
      <c r="L26" s="1"/>
      <c r="M26" s="1"/>
      <c r="N26" s="1"/>
      <c r="O26" s="1"/>
      <c r="P26" s="1"/>
      <c r="Q26" s="1"/>
      <c r="R26" s="1"/>
      <c r="S26" s="1"/>
      <c r="T26" s="1"/>
      <c r="U26" s="1"/>
    </row>
    <row r="27" spans="1:21" x14ac:dyDescent="0.3">
      <c r="A27" s="1" t="s">
        <v>170</v>
      </c>
      <c r="B27" s="1"/>
      <c r="C27" s="1"/>
      <c r="D27" s="1"/>
      <c r="E27" s="1"/>
      <c r="F27" s="1"/>
      <c r="G27" s="1"/>
      <c r="H27" s="1"/>
      <c r="I27" s="1"/>
      <c r="J27" s="1"/>
      <c r="K27" s="1"/>
      <c r="L27" s="1"/>
      <c r="M27" s="1"/>
      <c r="N27" s="1"/>
      <c r="O27" s="1"/>
      <c r="P27" s="1"/>
      <c r="Q27" s="101"/>
      <c r="R27" s="101"/>
      <c r="S27" s="1"/>
      <c r="T27" s="1"/>
      <c r="U27" s="1"/>
    </row>
    <row r="28" spans="1:21" x14ac:dyDescent="0.3">
      <c r="A28" s="1" t="s">
        <v>202</v>
      </c>
      <c r="B28" s="1"/>
      <c r="C28" s="1"/>
      <c r="D28" s="1"/>
      <c r="E28" s="1"/>
      <c r="F28" s="1"/>
      <c r="G28" s="1"/>
      <c r="H28" s="1"/>
      <c r="I28" s="1"/>
      <c r="J28" s="1"/>
      <c r="K28" s="1"/>
      <c r="L28" s="1"/>
      <c r="M28" s="1"/>
      <c r="N28" s="1"/>
      <c r="O28" s="1"/>
      <c r="P28" s="1"/>
      <c r="Q28" s="1"/>
      <c r="R28" s="1"/>
      <c r="S28" s="1"/>
      <c r="T28" s="1"/>
      <c r="U28" s="1"/>
    </row>
    <row r="29" spans="1:21" x14ac:dyDescent="0.3">
      <c r="A29" s="103" t="s">
        <v>206</v>
      </c>
      <c r="B29" s="101"/>
      <c r="C29" s="101"/>
      <c r="D29" s="101"/>
      <c r="E29" s="101"/>
      <c r="F29" s="101"/>
      <c r="G29" s="101"/>
      <c r="H29" s="101"/>
      <c r="I29" s="101"/>
      <c r="J29" s="101"/>
      <c r="K29" s="101"/>
      <c r="L29" s="101"/>
      <c r="M29" s="101"/>
      <c r="N29" s="101"/>
      <c r="O29" s="101"/>
      <c r="P29" s="101"/>
      <c r="Q29" s="1"/>
      <c r="R29" s="1"/>
      <c r="S29" s="1"/>
      <c r="T29" s="1"/>
      <c r="U29" s="1"/>
    </row>
    <row r="30" spans="1:21" x14ac:dyDescent="0.3">
      <c r="A30" s="1" t="s">
        <v>207</v>
      </c>
      <c r="B30" s="1"/>
      <c r="C30" s="1"/>
      <c r="D30" s="1"/>
      <c r="E30" s="1"/>
      <c r="F30" s="1"/>
      <c r="G30" s="1"/>
      <c r="H30" s="1"/>
      <c r="I30" s="1"/>
      <c r="J30" s="1"/>
      <c r="K30" s="1"/>
      <c r="L30" s="1"/>
      <c r="M30" s="1"/>
      <c r="N30" s="1"/>
      <c r="O30" s="1"/>
      <c r="P30" s="1"/>
      <c r="Q30" s="1"/>
      <c r="R30" s="1"/>
      <c r="S30" s="1"/>
      <c r="T30" s="1"/>
      <c r="U30" s="1"/>
    </row>
    <row r="31" spans="1:21" x14ac:dyDescent="0.3">
      <c r="A31" s="1" t="s">
        <v>208</v>
      </c>
      <c r="B31" s="1"/>
      <c r="C31" s="1"/>
      <c r="D31" s="1"/>
      <c r="E31" s="1"/>
      <c r="F31" s="1"/>
      <c r="G31" s="1"/>
      <c r="H31" s="1"/>
      <c r="I31" s="1"/>
      <c r="J31" s="1"/>
      <c r="K31" s="1"/>
      <c r="L31" s="1"/>
      <c r="M31" s="1"/>
      <c r="N31" s="1"/>
      <c r="O31" s="1"/>
      <c r="P31" s="1"/>
      <c r="Q31" s="1"/>
      <c r="R31" s="1"/>
      <c r="S31" s="1"/>
      <c r="T31" s="1"/>
      <c r="U31" s="1"/>
    </row>
    <row r="32" spans="1:21" x14ac:dyDescent="0.3">
      <c r="A32" s="1"/>
      <c r="B32" s="1"/>
      <c r="C32" s="1"/>
      <c r="D32" s="1"/>
      <c r="E32" s="1"/>
      <c r="F32" s="1"/>
      <c r="G32" s="1"/>
      <c r="H32" s="1"/>
      <c r="I32" s="1"/>
      <c r="J32" s="1"/>
      <c r="K32" s="1"/>
      <c r="L32" s="1"/>
      <c r="M32" s="1"/>
      <c r="N32" s="1"/>
      <c r="O32" s="1"/>
      <c r="P32" s="1"/>
      <c r="Q32" s="1"/>
      <c r="R32" s="1"/>
      <c r="S32" s="1"/>
      <c r="T32" s="1"/>
      <c r="U32" s="1"/>
    </row>
    <row r="33" spans="1:21" ht="15.6" x14ac:dyDescent="0.3">
      <c r="A33" s="102" t="s">
        <v>180</v>
      </c>
      <c r="B33" s="76"/>
      <c r="C33" s="76"/>
      <c r="D33" s="1"/>
      <c r="E33" s="1"/>
      <c r="F33" s="1"/>
      <c r="G33" s="1"/>
      <c r="H33" s="1"/>
      <c r="I33" s="1"/>
      <c r="J33" s="1"/>
      <c r="K33" s="1"/>
      <c r="L33" s="1"/>
      <c r="M33" s="1"/>
      <c r="N33" s="1"/>
      <c r="O33" s="1"/>
      <c r="P33" s="1"/>
      <c r="Q33" s="1"/>
      <c r="R33" s="1"/>
      <c r="S33" s="1"/>
      <c r="T33" s="1"/>
      <c r="U33" s="1"/>
    </row>
    <row r="34" spans="1:21" x14ac:dyDescent="0.3">
      <c r="A34" s="1" t="s">
        <v>159</v>
      </c>
      <c r="B34" s="80"/>
      <c r="C34" s="80"/>
      <c r="D34" s="80"/>
      <c r="E34" s="80"/>
      <c r="F34" s="80"/>
      <c r="G34" s="80"/>
      <c r="H34" s="80"/>
      <c r="I34" s="80"/>
      <c r="J34" s="80"/>
      <c r="K34" s="80"/>
      <c r="L34" s="80"/>
      <c r="M34" s="80"/>
      <c r="N34" s="1"/>
      <c r="O34" s="1"/>
      <c r="P34" s="1"/>
      <c r="Q34" s="1"/>
      <c r="R34" s="1"/>
      <c r="S34" s="1"/>
      <c r="T34" s="1"/>
      <c r="U34" s="1"/>
    </row>
    <row r="35" spans="1:21" x14ac:dyDescent="0.3">
      <c r="A35" s="79" t="s">
        <v>160</v>
      </c>
      <c r="B35" s="79"/>
      <c r="C35" s="79"/>
      <c r="D35" s="79"/>
      <c r="E35" s="79"/>
      <c r="F35" s="79"/>
      <c r="G35" s="79"/>
      <c r="H35" s="79"/>
      <c r="I35" s="79"/>
      <c r="J35" s="79"/>
      <c r="K35" s="80"/>
      <c r="L35" s="80"/>
      <c r="M35" s="80"/>
      <c r="N35" s="1"/>
      <c r="O35" s="1"/>
      <c r="P35" s="1"/>
      <c r="Q35" s="1"/>
      <c r="R35" s="1"/>
      <c r="S35" s="1"/>
      <c r="T35" s="1"/>
      <c r="U35" s="1"/>
    </row>
    <row r="36" spans="1:21" x14ac:dyDescent="0.3">
      <c r="A36" s="75" t="s">
        <v>193</v>
      </c>
      <c r="B36" s="75"/>
      <c r="C36" s="75"/>
      <c r="D36" s="75"/>
      <c r="E36" s="1"/>
      <c r="F36" s="75"/>
      <c r="G36" s="74"/>
      <c r="H36" s="82"/>
      <c r="I36" s="1"/>
      <c r="J36" s="1"/>
      <c r="K36" s="80"/>
      <c r="L36" s="80"/>
      <c r="M36" s="80"/>
      <c r="N36" s="1"/>
      <c r="O36" s="1"/>
      <c r="P36" s="1"/>
      <c r="Q36" s="1"/>
      <c r="R36" s="1"/>
      <c r="S36" s="1"/>
      <c r="T36" s="1"/>
      <c r="U36" s="1"/>
    </row>
    <row r="37" spans="1:21" x14ac:dyDescent="0.3">
      <c r="A37" s="75" t="s">
        <v>194</v>
      </c>
      <c r="B37" s="75"/>
      <c r="C37" s="75"/>
      <c r="D37" s="75"/>
      <c r="E37" s="1"/>
      <c r="F37" s="75"/>
      <c r="G37" s="74"/>
      <c r="H37" s="82"/>
      <c r="I37" s="1"/>
      <c r="J37" s="1"/>
      <c r="K37" s="80"/>
      <c r="L37" s="80"/>
      <c r="M37" s="80"/>
      <c r="N37" s="1"/>
      <c r="O37" s="1"/>
      <c r="P37" s="1"/>
      <c r="Q37" s="1"/>
      <c r="R37" s="1"/>
      <c r="S37" s="1"/>
      <c r="T37" s="1"/>
      <c r="U37" s="1"/>
    </row>
    <row r="38" spans="1:21" x14ac:dyDescent="0.3">
      <c r="A38" s="75" t="s">
        <v>195</v>
      </c>
      <c r="B38" s="75"/>
      <c r="C38" s="75"/>
      <c r="D38" s="75"/>
      <c r="E38" s="1"/>
      <c r="F38" s="75"/>
      <c r="G38" s="74"/>
      <c r="H38" s="82"/>
      <c r="I38" s="1"/>
      <c r="J38" s="1"/>
      <c r="K38" s="80"/>
      <c r="L38" s="80"/>
      <c r="M38" s="80"/>
      <c r="N38" s="1"/>
      <c r="O38" s="1"/>
      <c r="P38" s="1"/>
      <c r="Q38" s="1"/>
      <c r="R38" s="1"/>
      <c r="S38" s="1"/>
      <c r="T38" s="1"/>
      <c r="U38" s="1"/>
    </row>
    <row r="39" spans="1:21" x14ac:dyDescent="0.3">
      <c r="A39" s="1" t="s">
        <v>196</v>
      </c>
      <c r="B39" s="75"/>
      <c r="C39" s="75"/>
      <c r="D39" s="75"/>
      <c r="E39" s="1"/>
      <c r="F39" s="75"/>
      <c r="G39" s="74"/>
      <c r="H39" s="82"/>
      <c r="I39" s="1"/>
      <c r="J39" s="1"/>
      <c r="K39" s="80"/>
      <c r="L39" s="80"/>
      <c r="M39" s="80"/>
      <c r="N39" s="1"/>
      <c r="O39" s="1"/>
      <c r="P39" s="1"/>
      <c r="Q39" s="1"/>
      <c r="R39" s="1"/>
      <c r="S39" s="1"/>
      <c r="T39" s="1"/>
      <c r="U39" s="1"/>
    </row>
    <row r="40" spans="1:21" x14ac:dyDescent="0.3">
      <c r="A40" s="49"/>
      <c r="B40" s="67"/>
      <c r="C40" s="67"/>
      <c r="D40" s="67"/>
      <c r="E40" s="49"/>
      <c r="F40" s="67"/>
      <c r="G40" s="50"/>
      <c r="H40" s="83"/>
      <c r="I40" s="49"/>
      <c r="J40" s="49"/>
      <c r="K40" s="80"/>
      <c r="L40" s="80"/>
      <c r="M40" s="80"/>
      <c r="N40" s="1"/>
      <c r="O40" s="1"/>
      <c r="P40" s="1"/>
      <c r="Q40" s="1"/>
      <c r="R40" s="1"/>
      <c r="S40" s="1"/>
      <c r="T40" s="1"/>
      <c r="U40" s="1"/>
    </row>
    <row r="41" spans="1:21" x14ac:dyDescent="0.3">
      <c r="A41" s="51" t="s">
        <v>161</v>
      </c>
      <c r="B41" s="67"/>
      <c r="C41" s="67"/>
      <c r="D41" s="67"/>
      <c r="E41" s="49"/>
      <c r="F41" s="67"/>
      <c r="G41" s="50"/>
      <c r="H41" s="83"/>
      <c r="I41" s="49"/>
      <c r="J41" s="49"/>
      <c r="K41" s="80"/>
      <c r="L41" s="80"/>
      <c r="M41" s="80"/>
      <c r="N41" s="1"/>
      <c r="O41" s="1"/>
      <c r="P41" s="1"/>
      <c r="Q41" s="1"/>
      <c r="R41" s="1"/>
      <c r="S41" s="1"/>
      <c r="T41" s="1"/>
      <c r="U41" s="1"/>
    </row>
    <row r="42" spans="1:21" x14ac:dyDescent="0.3">
      <c r="A42" s="51" t="s">
        <v>162</v>
      </c>
      <c r="B42" s="67"/>
      <c r="C42" s="67"/>
      <c r="D42" s="67"/>
      <c r="E42" s="49"/>
      <c r="F42" s="67"/>
      <c r="G42" s="50"/>
      <c r="H42" s="83"/>
      <c r="I42" s="49"/>
      <c r="J42" s="49"/>
      <c r="K42" s="80"/>
      <c r="L42" s="80"/>
      <c r="M42" s="80"/>
      <c r="N42" s="1"/>
      <c r="O42" s="1"/>
      <c r="P42" s="1"/>
      <c r="Q42" s="1"/>
      <c r="R42" s="1"/>
      <c r="S42" s="1"/>
      <c r="T42" s="1"/>
      <c r="U42" s="1"/>
    </row>
    <row r="43" spans="1:21" x14ac:dyDescent="0.3">
      <c r="A43" s="1" t="s">
        <v>163</v>
      </c>
      <c r="B43" s="67"/>
      <c r="C43" s="67"/>
      <c r="D43" s="67"/>
      <c r="E43" s="49"/>
      <c r="F43" s="67"/>
      <c r="G43" s="50"/>
      <c r="H43" s="83"/>
      <c r="I43" s="49"/>
      <c r="J43" s="49"/>
      <c r="K43" s="80"/>
      <c r="L43" s="80"/>
      <c r="M43" s="80"/>
      <c r="N43" s="1"/>
      <c r="O43" s="1"/>
      <c r="P43" s="1"/>
    </row>
    <row r="44" spans="1:21" x14ac:dyDescent="0.3">
      <c r="A44" s="1" t="s">
        <v>203</v>
      </c>
      <c r="B44" s="67"/>
      <c r="C44" s="67"/>
      <c r="D44" s="67"/>
      <c r="E44" s="49"/>
      <c r="F44" s="67"/>
      <c r="G44" s="50"/>
      <c r="H44" s="83"/>
      <c r="I44" s="49"/>
      <c r="J44" s="49"/>
      <c r="K44" s="80"/>
      <c r="L44" s="80"/>
      <c r="M44" s="80"/>
      <c r="N44" s="1"/>
      <c r="O44" s="1"/>
      <c r="P44" s="1"/>
    </row>
    <row r="45" spans="1:21" x14ac:dyDescent="0.3">
      <c r="A45" s="1" t="s">
        <v>209</v>
      </c>
    </row>
    <row r="47" spans="1:21" x14ac:dyDescent="0.3">
      <c r="A47" s="105" t="s">
        <v>240</v>
      </c>
    </row>
  </sheetData>
  <sheetProtection algorithmName="SHA-512" hashValue="YjxXHdnBZAflGi0tbfGE6ZYzSrEGQ48oOgrFSzGVqMCQvfjl0SNv/oGuz2E9SKm196PHleaW/3Su6r/6+ooXiQ==" saltValue="qwTxnzBjmp8nU1N50e24vw==" spinCount="100000" sheet="1" objects="1" scenarios="1"/>
  <mergeCells count="1">
    <mergeCell ref="A2:P8"/>
  </mergeCells>
  <hyperlinks>
    <hyperlink ref="A9" r:id="rId1" display="2017 memo" xr:uid="{00000000-0004-0000-0000-000000000000}"/>
  </hyperlinks>
  <pageMargins left="0.7" right="0.7" top="0.75" bottom="0.75" header="0.3" footer="0.3"/>
  <pageSetup scale="72" orientation="landscape" r:id="rId2"/>
  <headerFooter>
    <oddHeader>&amp;C&amp;"-,Bold"&amp;UBuffer Mitigation Calculation Tool Instructions</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0"/>
  <sheetViews>
    <sheetView tabSelected="1" view="pageBreakPreview" zoomScale="85" zoomScaleNormal="85" zoomScaleSheetLayoutView="85" zoomScalePageLayoutView="70" workbookViewId="0">
      <selection activeCell="H3" sqref="H3"/>
    </sheetView>
  </sheetViews>
  <sheetFormatPr defaultColWidth="8.88671875" defaultRowHeight="14.4" x14ac:dyDescent="0.3"/>
  <cols>
    <col min="1" max="1" width="14" style="9" customWidth="1"/>
    <col min="2" max="2" width="13.109375" style="9" customWidth="1"/>
    <col min="3" max="3" width="12.109375" style="9" customWidth="1"/>
    <col min="4" max="4" width="13.44140625" style="9" customWidth="1"/>
    <col min="5" max="5" width="15.6640625" style="9" customWidth="1"/>
    <col min="6" max="6" width="13.44140625" style="9" customWidth="1"/>
    <col min="7" max="7" width="18.6640625" style="9" customWidth="1"/>
    <col min="8" max="8" width="13.44140625" style="9" customWidth="1"/>
    <col min="9" max="9" width="14.21875" style="9" customWidth="1"/>
    <col min="10" max="10" width="11.44140625" style="9" customWidth="1"/>
    <col min="11" max="11" width="11.33203125" style="9" customWidth="1"/>
    <col min="12" max="12" width="11" style="9" customWidth="1"/>
    <col min="13" max="13" width="12.109375" style="9" customWidth="1"/>
    <col min="14" max="14" width="14.109375" style="9" customWidth="1"/>
    <col min="15" max="15" width="13.88671875" style="9" bestFit="1" customWidth="1"/>
    <col min="16" max="16" width="12.44140625" style="9" customWidth="1"/>
    <col min="17" max="17" width="12.33203125" style="9" customWidth="1"/>
    <col min="18" max="18" width="9.88671875" style="9" bestFit="1" customWidth="1"/>
    <col min="19" max="16384" width="8.88671875" style="9"/>
  </cols>
  <sheetData>
    <row r="1" spans="1:17" ht="15.6" x14ac:dyDescent="0.3">
      <c r="A1" s="104" t="s">
        <v>239</v>
      </c>
    </row>
    <row r="3" spans="1:17" ht="15.6" customHeight="1" x14ac:dyDescent="0.3">
      <c r="A3" s="127" t="s">
        <v>100</v>
      </c>
      <c r="B3" s="128"/>
      <c r="C3" s="128"/>
      <c r="D3" s="129"/>
      <c r="E3" s="48" t="s">
        <v>225</v>
      </c>
    </row>
    <row r="4" spans="1:17" ht="15.75" customHeight="1" x14ac:dyDescent="0.3">
      <c r="A4" s="130">
        <f>INDEX('CR for Nutrient Conversion'!N$2:N$76,MATCH($A$3,'CR for Nutrient Conversion'!$M$2:$M$76,0))</f>
        <v>19.16394</v>
      </c>
      <c r="B4" s="131"/>
      <c r="C4" s="131"/>
      <c r="D4" s="132"/>
      <c r="E4" s="48" t="s">
        <v>226</v>
      </c>
      <c r="L4" s="46"/>
    </row>
    <row r="5" spans="1:17" ht="16.95" customHeight="1" x14ac:dyDescent="0.3">
      <c r="A5" s="130">
        <f>INDEX('CR for Nutrient Conversion'!O$2:O$76,MATCH($A$3,'CR for Nutrient Conversion'!$M$2:$M$76,0))</f>
        <v>297.54098999999997</v>
      </c>
      <c r="B5" s="131"/>
      <c r="C5" s="131"/>
      <c r="D5" s="132"/>
      <c r="E5" s="48" t="s">
        <v>227</v>
      </c>
    </row>
    <row r="6" spans="1:17" ht="56.4" x14ac:dyDescent="0.3">
      <c r="A6" s="53" t="s">
        <v>181</v>
      </c>
      <c r="B6" s="52" t="s">
        <v>1</v>
      </c>
      <c r="C6" s="52" t="s">
        <v>183</v>
      </c>
      <c r="D6" s="54" t="s">
        <v>9</v>
      </c>
      <c r="E6" s="54" t="s">
        <v>184</v>
      </c>
      <c r="F6" s="54" t="s">
        <v>3</v>
      </c>
      <c r="G6" s="54" t="s">
        <v>2</v>
      </c>
      <c r="H6" s="109" t="s">
        <v>229</v>
      </c>
      <c r="I6" s="109" t="s">
        <v>228</v>
      </c>
      <c r="J6" s="54" t="s">
        <v>5</v>
      </c>
      <c r="K6" s="54" t="s">
        <v>0</v>
      </c>
      <c r="L6" s="56" t="s">
        <v>6</v>
      </c>
      <c r="M6" s="56" t="s">
        <v>216</v>
      </c>
      <c r="N6" s="56" t="s">
        <v>7</v>
      </c>
      <c r="O6" s="56" t="s">
        <v>166</v>
      </c>
      <c r="P6" s="56" t="s">
        <v>217</v>
      </c>
      <c r="Q6" s="56" t="s">
        <v>218</v>
      </c>
    </row>
    <row r="7" spans="1:17" s="68" customFormat="1" x14ac:dyDescent="0.3">
      <c r="A7" s="84"/>
      <c r="B7" s="85"/>
      <c r="C7" s="85"/>
      <c r="D7" s="84"/>
      <c r="E7" s="84"/>
      <c r="F7" s="85"/>
      <c r="G7" s="86"/>
      <c r="H7" s="87"/>
      <c r="I7" s="87"/>
      <c r="J7" s="88" t="str">
        <f>IF(E7="Restoration",1,IF(E7="Enhancement",2,IF(E7="Preservation",10,IF(E7="Enhancement via Cattle Exclusion",2,""))))</f>
        <v/>
      </c>
      <c r="K7" s="89" t="str">
        <f>IF(F7="20-29", 0.75, IF(F7="0-100", 1, IF(F7="101-200",0.33, IF(F7="0-50", 1,""))))</f>
        <v/>
      </c>
      <c r="L7" s="90" t="str">
        <f>IF(I7&gt;0,ROUND(J7/K7,5),"")</f>
        <v/>
      </c>
      <c r="M7" s="85"/>
      <c r="N7" s="91" t="str">
        <f>IF(AND(I7&gt;0,M7&lt;&gt;"No", M7&lt;&gt;""),  ROUND(I7,0)/L7,"—")</f>
        <v>—</v>
      </c>
      <c r="O7" s="85"/>
      <c r="P7" s="91" t="str">
        <f>IF(OR($A$4="N/A", O7="No", O7="", O7="N/A"), "—", ROUND(H7,0)/($A$4*J7))</f>
        <v>—</v>
      </c>
      <c r="Q7" s="91" t="str">
        <f>IF(OR($A$5="N/A", O7="No", O7="", O7="N/A"), "—", H7/($A$5*J7))</f>
        <v>—</v>
      </c>
    </row>
    <row r="8" spans="1:17" s="68" customFormat="1" x14ac:dyDescent="0.3">
      <c r="A8" s="84"/>
      <c r="B8" s="85"/>
      <c r="C8" s="85"/>
      <c r="D8" s="84"/>
      <c r="E8" s="84"/>
      <c r="F8" s="85"/>
      <c r="G8" s="86"/>
      <c r="H8" s="87"/>
      <c r="I8" s="87"/>
      <c r="J8" s="88" t="str">
        <f t="shared" ref="J8:J25" si="0">IF(E8="Restoration",1,IF(E8="Enhancement",2,IF(E8="Preservation",10,IF(E8="Enhancement via Cattle Exclusion",2,""))))</f>
        <v/>
      </c>
      <c r="K8" s="89" t="str">
        <f t="shared" ref="K8:K25" si="1">IF(F8="20-29", 0.75, IF(F8="0-100", 1, IF(F8="101-200",0.33, IF(F8="0-50", 1,""))))</f>
        <v/>
      </c>
      <c r="L8" s="90" t="str">
        <f t="shared" ref="L8:L25" si="2">IF(I8&gt;0,ROUND(J8/K8,5),"")</f>
        <v/>
      </c>
      <c r="M8" s="85"/>
      <c r="N8" s="91" t="str">
        <f t="shared" ref="N8:N25" si="3">IF(AND(I8&gt;0,M8&lt;&gt;"No", M8&lt;&gt;""),  ROUND(I8,0)/L8,"—")</f>
        <v>—</v>
      </c>
      <c r="O8" s="85"/>
      <c r="P8" s="91" t="str">
        <f t="shared" ref="P8:P25" si="4">IF(OR($A$4="N/A", O8="No", O8="", O8="N/A"), "—", ROUND(H8,0)/($A$4*J8))</f>
        <v>—</v>
      </c>
      <c r="Q8" s="91" t="str">
        <f t="shared" ref="Q8:Q25" si="5">IF(OR($A$5="N/A", O8="No", O8="", O8="N/A"), "—", H8/($A$5*J8))</f>
        <v>—</v>
      </c>
    </row>
    <row r="9" spans="1:17" s="68" customFormat="1" x14ac:dyDescent="0.3">
      <c r="A9" s="84"/>
      <c r="B9" s="85"/>
      <c r="C9" s="85"/>
      <c r="D9" s="84"/>
      <c r="E9" s="84"/>
      <c r="F9" s="85"/>
      <c r="G9" s="86"/>
      <c r="H9" s="87"/>
      <c r="I9" s="87"/>
      <c r="J9" s="88" t="str">
        <f t="shared" si="0"/>
        <v/>
      </c>
      <c r="K9" s="89" t="str">
        <f t="shared" si="1"/>
        <v/>
      </c>
      <c r="L9" s="90" t="str">
        <f t="shared" si="2"/>
        <v/>
      </c>
      <c r="M9" s="85"/>
      <c r="N9" s="91" t="str">
        <f t="shared" si="3"/>
        <v>—</v>
      </c>
      <c r="O9" s="85"/>
      <c r="P9" s="91" t="str">
        <f t="shared" si="4"/>
        <v>—</v>
      </c>
      <c r="Q9" s="91" t="str">
        <f t="shared" si="5"/>
        <v>—</v>
      </c>
    </row>
    <row r="10" spans="1:17" s="115" customFormat="1" x14ac:dyDescent="0.3">
      <c r="A10" s="84"/>
      <c r="B10" s="84"/>
      <c r="C10" s="84"/>
      <c r="D10" s="84"/>
      <c r="E10" s="84"/>
      <c r="F10" s="84"/>
      <c r="G10" s="86"/>
      <c r="H10" s="87"/>
      <c r="I10" s="87"/>
      <c r="J10" s="111" t="str">
        <f t="shared" si="0"/>
        <v/>
      </c>
      <c r="K10" s="112" t="str">
        <f t="shared" si="1"/>
        <v/>
      </c>
      <c r="L10" s="113" t="str">
        <f t="shared" si="2"/>
        <v/>
      </c>
      <c r="M10" s="85"/>
      <c r="N10" s="114" t="str">
        <f t="shared" si="3"/>
        <v>—</v>
      </c>
      <c r="O10" s="85"/>
      <c r="P10" s="91" t="str">
        <f t="shared" si="4"/>
        <v>—</v>
      </c>
      <c r="Q10" s="91" t="str">
        <f t="shared" si="5"/>
        <v>—</v>
      </c>
    </row>
    <row r="11" spans="1:17" s="68" customFormat="1" x14ac:dyDescent="0.3">
      <c r="A11" s="84"/>
      <c r="B11" s="84"/>
      <c r="C11" s="84"/>
      <c r="D11" s="84"/>
      <c r="E11" s="84"/>
      <c r="F11" s="85"/>
      <c r="G11" s="86"/>
      <c r="H11" s="87"/>
      <c r="I11" s="87"/>
      <c r="J11" s="88" t="str">
        <f t="shared" si="0"/>
        <v/>
      </c>
      <c r="K11" s="89" t="str">
        <f t="shared" si="1"/>
        <v/>
      </c>
      <c r="L11" s="90" t="str">
        <f t="shared" si="2"/>
        <v/>
      </c>
      <c r="M11" s="85"/>
      <c r="N11" s="91" t="str">
        <f t="shared" si="3"/>
        <v>—</v>
      </c>
      <c r="O11" s="85"/>
      <c r="P11" s="91" t="str">
        <f t="shared" si="4"/>
        <v>—</v>
      </c>
      <c r="Q11" s="91" t="str">
        <f t="shared" si="5"/>
        <v>—</v>
      </c>
    </row>
    <row r="12" spans="1:17" s="68" customFormat="1" x14ac:dyDescent="0.3">
      <c r="A12" s="84"/>
      <c r="B12" s="84"/>
      <c r="C12" s="84"/>
      <c r="D12" s="84"/>
      <c r="E12" s="84"/>
      <c r="F12" s="85"/>
      <c r="G12" s="86"/>
      <c r="H12" s="87"/>
      <c r="I12" s="87"/>
      <c r="J12" s="88" t="str">
        <f t="shared" si="0"/>
        <v/>
      </c>
      <c r="K12" s="89" t="str">
        <f t="shared" si="1"/>
        <v/>
      </c>
      <c r="L12" s="90" t="str">
        <f t="shared" si="2"/>
        <v/>
      </c>
      <c r="M12" s="85"/>
      <c r="N12" s="91" t="str">
        <f t="shared" si="3"/>
        <v>—</v>
      </c>
      <c r="O12" s="85"/>
      <c r="P12" s="91" t="str">
        <f t="shared" si="4"/>
        <v>—</v>
      </c>
      <c r="Q12" s="91" t="str">
        <f t="shared" si="5"/>
        <v>—</v>
      </c>
    </row>
    <row r="13" spans="1:17" s="68" customFormat="1" x14ac:dyDescent="0.3">
      <c r="A13" s="84"/>
      <c r="B13" s="84"/>
      <c r="C13" s="84"/>
      <c r="D13" s="84"/>
      <c r="E13" s="84"/>
      <c r="F13" s="85"/>
      <c r="G13" s="86"/>
      <c r="H13" s="87"/>
      <c r="I13" s="87"/>
      <c r="J13" s="88" t="str">
        <f t="shared" si="0"/>
        <v/>
      </c>
      <c r="K13" s="89" t="str">
        <f t="shared" si="1"/>
        <v/>
      </c>
      <c r="L13" s="90" t="str">
        <f t="shared" si="2"/>
        <v/>
      </c>
      <c r="M13" s="85"/>
      <c r="N13" s="91" t="str">
        <f t="shared" si="3"/>
        <v>—</v>
      </c>
      <c r="O13" s="85"/>
      <c r="P13" s="91" t="str">
        <f t="shared" si="4"/>
        <v>—</v>
      </c>
      <c r="Q13" s="91" t="str">
        <f t="shared" si="5"/>
        <v>—</v>
      </c>
    </row>
    <row r="14" spans="1:17" s="68" customFormat="1" x14ac:dyDescent="0.3">
      <c r="A14" s="84"/>
      <c r="B14" s="85"/>
      <c r="C14" s="85"/>
      <c r="D14" s="84"/>
      <c r="E14" s="84"/>
      <c r="F14" s="85"/>
      <c r="G14" s="86"/>
      <c r="H14" s="87"/>
      <c r="I14" s="87"/>
      <c r="J14" s="88" t="str">
        <f t="shared" si="0"/>
        <v/>
      </c>
      <c r="K14" s="89" t="str">
        <f t="shared" si="1"/>
        <v/>
      </c>
      <c r="L14" s="90" t="str">
        <f t="shared" si="2"/>
        <v/>
      </c>
      <c r="M14" s="85"/>
      <c r="N14" s="91" t="str">
        <f t="shared" si="3"/>
        <v>—</v>
      </c>
      <c r="O14" s="85"/>
      <c r="P14" s="91" t="str">
        <f t="shared" si="4"/>
        <v>—</v>
      </c>
      <c r="Q14" s="91" t="str">
        <f t="shared" si="5"/>
        <v>—</v>
      </c>
    </row>
    <row r="15" spans="1:17" s="68" customFormat="1" x14ac:dyDescent="0.3">
      <c r="A15" s="84"/>
      <c r="B15" s="85"/>
      <c r="C15" s="85"/>
      <c r="D15" s="84"/>
      <c r="E15" s="84"/>
      <c r="F15" s="85"/>
      <c r="G15" s="86"/>
      <c r="H15" s="87"/>
      <c r="I15" s="87"/>
      <c r="J15" s="88" t="str">
        <f t="shared" si="0"/>
        <v/>
      </c>
      <c r="K15" s="89" t="str">
        <f t="shared" si="1"/>
        <v/>
      </c>
      <c r="L15" s="90" t="str">
        <f t="shared" si="2"/>
        <v/>
      </c>
      <c r="M15" s="85"/>
      <c r="N15" s="91" t="str">
        <f t="shared" si="3"/>
        <v>—</v>
      </c>
      <c r="O15" s="85"/>
      <c r="P15" s="91" t="str">
        <f t="shared" si="4"/>
        <v>—</v>
      </c>
      <c r="Q15" s="91" t="str">
        <f t="shared" si="5"/>
        <v>—</v>
      </c>
    </row>
    <row r="16" spans="1:17" s="68" customFormat="1" x14ac:dyDescent="0.3">
      <c r="A16" s="84"/>
      <c r="B16" s="85"/>
      <c r="C16" s="85"/>
      <c r="D16" s="84"/>
      <c r="E16" s="84"/>
      <c r="F16" s="85"/>
      <c r="G16" s="86"/>
      <c r="H16" s="87"/>
      <c r="I16" s="87"/>
      <c r="J16" s="88" t="str">
        <f t="shared" si="0"/>
        <v/>
      </c>
      <c r="K16" s="89" t="str">
        <f t="shared" si="1"/>
        <v/>
      </c>
      <c r="L16" s="90" t="str">
        <f t="shared" si="2"/>
        <v/>
      </c>
      <c r="M16" s="85"/>
      <c r="N16" s="91" t="str">
        <f t="shared" si="3"/>
        <v>—</v>
      </c>
      <c r="O16" s="85"/>
      <c r="P16" s="91" t="str">
        <f t="shared" si="4"/>
        <v>—</v>
      </c>
      <c r="Q16" s="91" t="str">
        <f t="shared" si="5"/>
        <v>—</v>
      </c>
    </row>
    <row r="17" spans="1:17" s="68" customFormat="1" x14ac:dyDescent="0.3">
      <c r="A17" s="84"/>
      <c r="B17" s="85"/>
      <c r="C17" s="85"/>
      <c r="D17" s="84"/>
      <c r="E17" s="84"/>
      <c r="F17" s="85"/>
      <c r="G17" s="86"/>
      <c r="H17" s="87"/>
      <c r="I17" s="87"/>
      <c r="J17" s="88" t="str">
        <f t="shared" si="0"/>
        <v/>
      </c>
      <c r="K17" s="89" t="str">
        <f t="shared" si="1"/>
        <v/>
      </c>
      <c r="L17" s="90" t="str">
        <f t="shared" si="2"/>
        <v/>
      </c>
      <c r="M17" s="85"/>
      <c r="N17" s="91" t="str">
        <f t="shared" si="3"/>
        <v>—</v>
      </c>
      <c r="O17" s="85"/>
      <c r="P17" s="91" t="str">
        <f t="shared" si="4"/>
        <v>—</v>
      </c>
      <c r="Q17" s="91" t="str">
        <f t="shared" si="5"/>
        <v>—</v>
      </c>
    </row>
    <row r="18" spans="1:17" s="68" customFormat="1" x14ac:dyDescent="0.3">
      <c r="A18" s="84"/>
      <c r="B18" s="85"/>
      <c r="C18" s="85"/>
      <c r="D18" s="84"/>
      <c r="E18" s="84"/>
      <c r="F18" s="85"/>
      <c r="G18" s="86"/>
      <c r="H18" s="87"/>
      <c r="I18" s="87"/>
      <c r="J18" s="88" t="str">
        <f t="shared" si="0"/>
        <v/>
      </c>
      <c r="K18" s="89" t="str">
        <f t="shared" si="1"/>
        <v/>
      </c>
      <c r="L18" s="90" t="str">
        <f t="shared" si="2"/>
        <v/>
      </c>
      <c r="M18" s="85"/>
      <c r="N18" s="91" t="str">
        <f t="shared" si="3"/>
        <v>—</v>
      </c>
      <c r="O18" s="85"/>
      <c r="P18" s="91" t="str">
        <f t="shared" si="4"/>
        <v>—</v>
      </c>
      <c r="Q18" s="91" t="str">
        <f t="shared" si="5"/>
        <v>—</v>
      </c>
    </row>
    <row r="19" spans="1:17" s="68" customFormat="1" x14ac:dyDescent="0.3">
      <c r="A19" s="84"/>
      <c r="B19" s="85"/>
      <c r="C19" s="85"/>
      <c r="D19" s="84"/>
      <c r="E19" s="84"/>
      <c r="F19" s="85"/>
      <c r="G19" s="86"/>
      <c r="H19" s="87"/>
      <c r="I19" s="87"/>
      <c r="J19" s="88" t="str">
        <f t="shared" si="0"/>
        <v/>
      </c>
      <c r="K19" s="89" t="str">
        <f t="shared" si="1"/>
        <v/>
      </c>
      <c r="L19" s="90" t="str">
        <f t="shared" si="2"/>
        <v/>
      </c>
      <c r="M19" s="85"/>
      <c r="N19" s="91" t="str">
        <f t="shared" si="3"/>
        <v>—</v>
      </c>
      <c r="O19" s="85"/>
      <c r="P19" s="91" t="str">
        <f t="shared" si="4"/>
        <v>—</v>
      </c>
      <c r="Q19" s="91" t="str">
        <f t="shared" si="5"/>
        <v>—</v>
      </c>
    </row>
    <row r="20" spans="1:17" s="68" customFormat="1" x14ac:dyDescent="0.3">
      <c r="A20" s="84"/>
      <c r="B20" s="85"/>
      <c r="C20" s="85"/>
      <c r="D20" s="84"/>
      <c r="E20" s="84"/>
      <c r="F20" s="85"/>
      <c r="G20" s="86"/>
      <c r="H20" s="87"/>
      <c r="I20" s="87"/>
      <c r="J20" s="88" t="str">
        <f t="shared" si="0"/>
        <v/>
      </c>
      <c r="K20" s="89" t="str">
        <f t="shared" si="1"/>
        <v/>
      </c>
      <c r="L20" s="90" t="str">
        <f t="shared" si="2"/>
        <v/>
      </c>
      <c r="M20" s="85"/>
      <c r="N20" s="91" t="str">
        <f t="shared" si="3"/>
        <v>—</v>
      </c>
      <c r="O20" s="85"/>
      <c r="P20" s="91" t="str">
        <f t="shared" si="4"/>
        <v>—</v>
      </c>
      <c r="Q20" s="91" t="str">
        <f t="shared" si="5"/>
        <v>—</v>
      </c>
    </row>
    <row r="21" spans="1:17" s="68" customFormat="1" x14ac:dyDescent="0.3">
      <c r="A21" s="84"/>
      <c r="B21" s="85"/>
      <c r="C21" s="85"/>
      <c r="D21" s="84"/>
      <c r="E21" s="84"/>
      <c r="F21" s="85"/>
      <c r="G21" s="86"/>
      <c r="H21" s="87"/>
      <c r="I21" s="87"/>
      <c r="J21" s="88" t="str">
        <f t="shared" si="0"/>
        <v/>
      </c>
      <c r="K21" s="89" t="str">
        <f t="shared" si="1"/>
        <v/>
      </c>
      <c r="L21" s="90" t="str">
        <f t="shared" si="2"/>
        <v/>
      </c>
      <c r="M21" s="85"/>
      <c r="N21" s="91" t="str">
        <f t="shared" si="3"/>
        <v>—</v>
      </c>
      <c r="O21" s="85"/>
      <c r="P21" s="91" t="str">
        <f t="shared" si="4"/>
        <v>—</v>
      </c>
      <c r="Q21" s="91" t="str">
        <f t="shared" si="5"/>
        <v>—</v>
      </c>
    </row>
    <row r="22" spans="1:17" s="68" customFormat="1" x14ac:dyDescent="0.3">
      <c r="A22" s="84"/>
      <c r="B22" s="85"/>
      <c r="C22" s="85"/>
      <c r="D22" s="84"/>
      <c r="E22" s="84"/>
      <c r="F22" s="85"/>
      <c r="G22" s="86"/>
      <c r="H22" s="87"/>
      <c r="I22" s="87"/>
      <c r="J22" s="88" t="str">
        <f t="shared" si="0"/>
        <v/>
      </c>
      <c r="K22" s="89" t="str">
        <f t="shared" si="1"/>
        <v/>
      </c>
      <c r="L22" s="90" t="str">
        <f t="shared" si="2"/>
        <v/>
      </c>
      <c r="M22" s="85"/>
      <c r="N22" s="91" t="str">
        <f t="shared" si="3"/>
        <v>—</v>
      </c>
      <c r="O22" s="85"/>
      <c r="P22" s="91" t="str">
        <f t="shared" si="4"/>
        <v>—</v>
      </c>
      <c r="Q22" s="91" t="str">
        <f t="shared" si="5"/>
        <v>—</v>
      </c>
    </row>
    <row r="23" spans="1:17" s="68" customFormat="1" x14ac:dyDescent="0.3">
      <c r="A23" s="84"/>
      <c r="B23" s="85"/>
      <c r="C23" s="85"/>
      <c r="D23" s="84"/>
      <c r="E23" s="84"/>
      <c r="F23" s="85"/>
      <c r="G23" s="86"/>
      <c r="H23" s="87"/>
      <c r="I23" s="87"/>
      <c r="J23" s="88" t="str">
        <f t="shared" si="0"/>
        <v/>
      </c>
      <c r="K23" s="89" t="str">
        <f t="shared" si="1"/>
        <v/>
      </c>
      <c r="L23" s="90" t="str">
        <f t="shared" si="2"/>
        <v/>
      </c>
      <c r="M23" s="85"/>
      <c r="N23" s="91" t="str">
        <f t="shared" si="3"/>
        <v>—</v>
      </c>
      <c r="O23" s="85"/>
      <c r="P23" s="91" t="str">
        <f t="shared" si="4"/>
        <v>—</v>
      </c>
      <c r="Q23" s="91" t="str">
        <f t="shared" si="5"/>
        <v>—</v>
      </c>
    </row>
    <row r="24" spans="1:17" s="68" customFormat="1" x14ac:dyDescent="0.3">
      <c r="A24" s="84"/>
      <c r="B24" s="85"/>
      <c r="C24" s="85"/>
      <c r="D24" s="84"/>
      <c r="E24" s="84"/>
      <c r="F24" s="85"/>
      <c r="G24" s="86"/>
      <c r="H24" s="87"/>
      <c r="I24" s="87"/>
      <c r="J24" s="88" t="str">
        <f t="shared" si="0"/>
        <v/>
      </c>
      <c r="K24" s="89" t="str">
        <f t="shared" si="1"/>
        <v/>
      </c>
      <c r="L24" s="90" t="str">
        <f t="shared" si="2"/>
        <v/>
      </c>
      <c r="M24" s="85"/>
      <c r="N24" s="91" t="str">
        <f t="shared" si="3"/>
        <v>—</v>
      </c>
      <c r="O24" s="85"/>
      <c r="P24" s="91" t="str">
        <f t="shared" si="4"/>
        <v>—</v>
      </c>
      <c r="Q24" s="91" t="str">
        <f t="shared" si="5"/>
        <v>—</v>
      </c>
    </row>
    <row r="25" spans="1:17" s="68" customFormat="1" x14ac:dyDescent="0.3">
      <c r="A25" s="84"/>
      <c r="B25" s="85"/>
      <c r="C25" s="85"/>
      <c r="D25" s="84"/>
      <c r="E25" s="84"/>
      <c r="F25" s="85"/>
      <c r="G25" s="86"/>
      <c r="H25" s="87"/>
      <c r="I25" s="87"/>
      <c r="J25" s="88" t="str">
        <f t="shared" si="0"/>
        <v/>
      </c>
      <c r="K25" s="89" t="str">
        <f t="shared" si="1"/>
        <v/>
      </c>
      <c r="L25" s="90" t="str">
        <f t="shared" si="2"/>
        <v/>
      </c>
      <c r="M25" s="85"/>
      <c r="N25" s="91" t="str">
        <f t="shared" si="3"/>
        <v>—</v>
      </c>
      <c r="O25" s="85"/>
      <c r="P25" s="91" t="str">
        <f t="shared" si="4"/>
        <v>—</v>
      </c>
      <c r="Q25" s="91" t="str">
        <f t="shared" si="5"/>
        <v>—</v>
      </c>
    </row>
    <row r="26" spans="1:17" x14ac:dyDescent="0.3">
      <c r="A26" s="58"/>
      <c r="B26" s="58"/>
      <c r="C26" s="58"/>
      <c r="D26" s="59"/>
      <c r="E26" s="58"/>
      <c r="G26" s="45" t="s">
        <v>246</v>
      </c>
      <c r="H26" s="116">
        <f>SUM(H7:H25)</f>
        <v>0</v>
      </c>
      <c r="I26" s="116">
        <f>SUM(I7:I25)</f>
        <v>0</v>
      </c>
      <c r="J26" s="60"/>
      <c r="K26" s="61"/>
      <c r="L26" s="62"/>
      <c r="M26" s="63"/>
      <c r="N26" s="117">
        <f>SUM(N7:N25)</f>
        <v>0</v>
      </c>
      <c r="O26" s="118"/>
      <c r="P26" s="117">
        <f t="shared" ref="P26:Q26" si="6">SUM(P7:P25)</f>
        <v>0</v>
      </c>
      <c r="Q26" s="117">
        <f t="shared" si="6"/>
        <v>0</v>
      </c>
    </row>
    <row r="27" spans="1:17" x14ac:dyDescent="0.3">
      <c r="C27" s="58"/>
      <c r="D27" s="59"/>
      <c r="E27" s="58"/>
      <c r="F27" s="58"/>
      <c r="G27" s="110" t="s">
        <v>247</v>
      </c>
      <c r="H27" s="116">
        <f>SUMIF(A7:A25, "Buffer",H7:H25)</f>
        <v>0</v>
      </c>
      <c r="I27" s="116">
        <f>SUMIF(A7:A25, "Buffer",I7:I25)</f>
        <v>0</v>
      </c>
      <c r="J27" s="47"/>
      <c r="K27" s="61"/>
      <c r="L27" s="62"/>
      <c r="M27" s="63"/>
    </row>
    <row r="28" spans="1:17" x14ac:dyDescent="0.3">
      <c r="C28" s="58"/>
      <c r="E28" s="58"/>
      <c r="F28" s="58"/>
      <c r="G28" s="110" t="s">
        <v>248</v>
      </c>
      <c r="H28" s="116">
        <f>SUMIF(A7:A25, "Nutrient Offset",H7:H25)</f>
        <v>0</v>
      </c>
      <c r="I28" s="116" t="s">
        <v>90</v>
      </c>
      <c r="J28" s="47"/>
      <c r="K28" s="61"/>
      <c r="L28" s="123"/>
      <c r="M28" s="63"/>
    </row>
    <row r="29" spans="1:17" x14ac:dyDescent="0.3">
      <c r="C29" s="58"/>
      <c r="E29" s="58"/>
      <c r="F29" s="58"/>
      <c r="G29" s="110"/>
      <c r="H29" s="125"/>
      <c r="I29" s="125"/>
      <c r="J29" s="47"/>
      <c r="K29" s="61"/>
      <c r="L29" s="123"/>
      <c r="M29" s="63"/>
    </row>
    <row r="30" spans="1:17" ht="16.2" x14ac:dyDescent="0.3">
      <c r="C30" s="58"/>
      <c r="D30" s="59"/>
      <c r="E30" s="58"/>
      <c r="F30" s="58"/>
      <c r="G30" s="45" t="s">
        <v>249</v>
      </c>
      <c r="H30" s="124">
        <f>SUMIFS(H7:H25, D7:D25, "Ephemeral", A7:A25, "Buffer")+SUMIFS(I34:I38, D34:D38, "Ephemeral")</f>
        <v>0</v>
      </c>
      <c r="I30" s="124">
        <f>SUMIFS(I7:I25, D7:D25, "Ephemeral", A7:A25, "Buffer")+SUMIFS(I34:I38, D34:D38, "Ephemeral")</f>
        <v>0</v>
      </c>
      <c r="K30" s="61"/>
      <c r="L30" s="62"/>
      <c r="M30" s="63"/>
    </row>
    <row r="31" spans="1:17" ht="16.2" x14ac:dyDescent="0.3">
      <c r="A31" s="58"/>
      <c r="B31" s="58"/>
      <c r="C31" s="58"/>
      <c r="D31" s="59"/>
      <c r="E31" s="58"/>
      <c r="F31" s="58"/>
      <c r="G31" s="45" t="s">
        <v>241</v>
      </c>
      <c r="H31" s="116">
        <f>(H27+I39)*0.25</f>
        <v>0</v>
      </c>
      <c r="I31" s="119">
        <f>IF(I30&gt;0,I30/(H27+I39),0)</f>
        <v>0</v>
      </c>
      <c r="J31" s="48" t="s">
        <v>243</v>
      </c>
      <c r="L31" s="62"/>
      <c r="M31" s="63"/>
      <c r="N31" s="120"/>
    </row>
    <row r="32" spans="1:17" ht="16.2" x14ac:dyDescent="0.3">
      <c r="A32" s="64" t="s">
        <v>164</v>
      </c>
      <c r="G32" s="45" t="s">
        <v>242</v>
      </c>
      <c r="H32" s="116">
        <f>ROUND((H27/0.75)-H27, 0)</f>
        <v>0</v>
      </c>
      <c r="I32" s="119">
        <f>IF(H32&gt;0, (I39/(H27+H32)),0)</f>
        <v>0</v>
      </c>
      <c r="J32" s="48" t="s">
        <v>244</v>
      </c>
    </row>
    <row r="33" spans="1:13" ht="56.4" x14ac:dyDescent="0.3">
      <c r="A33" s="53" t="s">
        <v>181</v>
      </c>
      <c r="B33" s="52" t="s">
        <v>1</v>
      </c>
      <c r="C33" s="52" t="s">
        <v>182</v>
      </c>
      <c r="D33" s="54" t="s">
        <v>9</v>
      </c>
      <c r="E33" s="57" t="s">
        <v>184</v>
      </c>
      <c r="F33" s="54" t="s">
        <v>3</v>
      </c>
      <c r="G33" s="54" t="s">
        <v>2</v>
      </c>
      <c r="H33" s="55" t="s">
        <v>4</v>
      </c>
      <c r="I33" s="109" t="s">
        <v>230</v>
      </c>
      <c r="J33" s="54" t="s">
        <v>5</v>
      </c>
      <c r="K33" s="54" t="s">
        <v>0</v>
      </c>
      <c r="L33" s="69" t="s">
        <v>6</v>
      </c>
      <c r="M33" s="69" t="s">
        <v>7</v>
      </c>
    </row>
    <row r="34" spans="1:13" s="68" customFormat="1" x14ac:dyDescent="0.3">
      <c r="A34" s="93" t="s">
        <v>165</v>
      </c>
      <c r="B34" s="85"/>
      <c r="C34" s="85"/>
      <c r="D34" s="85"/>
      <c r="E34" s="95"/>
      <c r="F34" s="85"/>
      <c r="G34" s="94"/>
      <c r="H34" s="87"/>
      <c r="I34" s="87"/>
      <c r="J34" s="92" t="str">
        <f>IF((AND(B34="Rural",C34="Yes")),10,IF((AND(B34="Rural",C34="No")),5,IF((AND(B34="Urban")),3,"")))</f>
        <v/>
      </c>
      <c r="K34" s="89" t="str">
        <f>IF(F34="20-29", 0.75, IF(F34="0-100", 1, IF(F34="101-200",0.33, IF(F34="0-50", 1,""))))</f>
        <v/>
      </c>
      <c r="L34" s="90" t="str">
        <f>IF(I34&gt;0, ROUND(J34/K34, 5), "")</f>
        <v/>
      </c>
      <c r="M34" s="91" t="str">
        <f>IF(I34&gt;0,(ROUND(I34, 0)/L34), "—")</f>
        <v>—</v>
      </c>
    </row>
    <row r="35" spans="1:13" s="68" customFormat="1" x14ac:dyDescent="0.3">
      <c r="A35" s="96"/>
      <c r="B35" s="85"/>
      <c r="C35" s="85"/>
      <c r="D35" s="85"/>
      <c r="E35" s="95"/>
      <c r="F35" s="85"/>
      <c r="G35" s="94"/>
      <c r="H35" s="87"/>
      <c r="I35" s="87"/>
      <c r="J35" s="92" t="str">
        <f t="shared" ref="J35:J38" si="7">IF((AND(B35="Rural",C35="Yes")),10,IF((AND(B35="Rural",C35="No")),5,IF((AND(B35="Urban")),3,"")))</f>
        <v/>
      </c>
      <c r="K35" s="89" t="str">
        <f t="shared" ref="K35:K38" si="8">IF(F35="20-29", 0.75, IF(F35="0-100", 1, IF(F35="101-200",0.33, IF(F35="0-50", 1,""))))</f>
        <v/>
      </c>
      <c r="L35" s="90" t="str">
        <f t="shared" ref="L35:L38" si="9">IF(I35&gt;0, ROUND(J35/K35, 5), "")</f>
        <v/>
      </c>
      <c r="M35" s="91" t="str">
        <f t="shared" ref="M35:M38" si="10">IF(I35&gt;0,(ROUND(I35, 0)/L35), "—")</f>
        <v>—</v>
      </c>
    </row>
    <row r="36" spans="1:13" s="68" customFormat="1" x14ac:dyDescent="0.3">
      <c r="A36" s="96"/>
      <c r="B36" s="85"/>
      <c r="C36" s="85"/>
      <c r="D36" s="85"/>
      <c r="E36" s="95"/>
      <c r="F36" s="85"/>
      <c r="G36" s="94"/>
      <c r="H36" s="87"/>
      <c r="I36" s="87"/>
      <c r="J36" s="92" t="str">
        <f t="shared" si="7"/>
        <v/>
      </c>
      <c r="K36" s="89" t="str">
        <f t="shared" si="8"/>
        <v/>
      </c>
      <c r="L36" s="90" t="str">
        <f t="shared" si="9"/>
        <v/>
      </c>
      <c r="M36" s="91" t="str">
        <f t="shared" si="10"/>
        <v>—</v>
      </c>
    </row>
    <row r="37" spans="1:13" s="68" customFormat="1" x14ac:dyDescent="0.3">
      <c r="A37" s="96"/>
      <c r="B37" s="85"/>
      <c r="C37" s="85"/>
      <c r="D37" s="85"/>
      <c r="E37" s="95"/>
      <c r="F37" s="85"/>
      <c r="G37" s="94"/>
      <c r="H37" s="87"/>
      <c r="I37" s="87"/>
      <c r="J37" s="92" t="str">
        <f t="shared" si="7"/>
        <v/>
      </c>
      <c r="K37" s="89" t="str">
        <f t="shared" si="8"/>
        <v/>
      </c>
      <c r="L37" s="90" t="str">
        <f t="shared" si="9"/>
        <v/>
      </c>
      <c r="M37" s="91" t="str">
        <f t="shared" si="10"/>
        <v>—</v>
      </c>
    </row>
    <row r="38" spans="1:13" s="68" customFormat="1" x14ac:dyDescent="0.3">
      <c r="A38" s="96"/>
      <c r="B38" s="85"/>
      <c r="C38" s="85"/>
      <c r="D38" s="85"/>
      <c r="E38" s="95"/>
      <c r="F38" s="85"/>
      <c r="G38" s="94"/>
      <c r="H38" s="87"/>
      <c r="I38" s="87"/>
      <c r="J38" s="92" t="str">
        <f t="shared" si="7"/>
        <v/>
      </c>
      <c r="K38" s="89" t="str">
        <f t="shared" si="8"/>
        <v/>
      </c>
      <c r="L38" s="90" t="str">
        <f t="shared" si="9"/>
        <v/>
      </c>
      <c r="M38" s="91" t="str">
        <f t="shared" si="10"/>
        <v>—</v>
      </c>
    </row>
    <row r="39" spans="1:13" ht="16.2" customHeight="1" thickBot="1" x14ac:dyDescent="0.35">
      <c r="A39" s="65"/>
      <c r="F39" s="47"/>
      <c r="G39" s="45" t="s">
        <v>245</v>
      </c>
      <c r="H39" s="116">
        <f>ROUND(SUM(H34:H38), 0)</f>
        <v>0</v>
      </c>
      <c r="I39" s="116">
        <f>ROUND(SUM(I34:I38), 0)</f>
        <v>0</v>
      </c>
    </row>
    <row r="40" spans="1:13" ht="16.2" customHeight="1" x14ac:dyDescent="0.3">
      <c r="A40" s="139" t="s">
        <v>219</v>
      </c>
      <c r="B40" s="140"/>
      <c r="C40" s="140"/>
      <c r="D40" s="141"/>
      <c r="E40" s="121"/>
      <c r="F40" s="122"/>
    </row>
    <row r="41" spans="1:13" x14ac:dyDescent="0.3">
      <c r="A41" s="135" t="s">
        <v>190</v>
      </c>
      <c r="B41" s="136"/>
      <c r="C41" s="106" t="s">
        <v>185</v>
      </c>
      <c r="D41" s="97" t="s">
        <v>186</v>
      </c>
    </row>
    <row r="42" spans="1:13" ht="16.95" customHeight="1" x14ac:dyDescent="0.3">
      <c r="A42" s="133" t="s">
        <v>187</v>
      </c>
      <c r="B42" s="134"/>
      <c r="C42" s="92">
        <f>SUMIFS(I7:I25, E7:E25, "Restoration", A7:A25, "Buffer")</f>
        <v>0</v>
      </c>
      <c r="D42" s="98">
        <f>SUMIFS(N7:N25, E7:E25, "Restoration", A7:A25, "Buffer")</f>
        <v>0</v>
      </c>
    </row>
    <row r="43" spans="1:13" x14ac:dyDescent="0.3">
      <c r="A43" s="133" t="s">
        <v>188</v>
      </c>
      <c r="B43" s="134"/>
      <c r="C43" s="92">
        <f>SUMIFS(I7:I25, E7:E25, "*Enhancement*", A7:A25, "Buffer")</f>
        <v>0</v>
      </c>
      <c r="D43" s="98">
        <f>SUMIFS(N7:N25, E7:E25, "*Enhancement*", A7:A25, "Buffer")</f>
        <v>0</v>
      </c>
    </row>
    <row r="44" spans="1:13" x14ac:dyDescent="0.3">
      <c r="A44" s="133" t="s">
        <v>189</v>
      </c>
      <c r="B44" s="134"/>
      <c r="C44" s="92">
        <f>SUM(I34:I38)</f>
        <v>0</v>
      </c>
      <c r="D44" s="98">
        <f>SUM(M34:M38)</f>
        <v>0</v>
      </c>
    </row>
    <row r="45" spans="1:13" x14ac:dyDescent="0.3">
      <c r="A45" s="133" t="s">
        <v>192</v>
      </c>
      <c r="B45" s="134"/>
      <c r="C45" s="92">
        <f>SUM(C42:C44)</f>
        <v>0</v>
      </c>
      <c r="D45" s="98">
        <f>SUM(D42:D44)</f>
        <v>0</v>
      </c>
    </row>
    <row r="46" spans="1:13" x14ac:dyDescent="0.3">
      <c r="A46" s="142" t="s">
        <v>220</v>
      </c>
      <c r="B46" s="143"/>
      <c r="C46" s="143"/>
      <c r="D46" s="144"/>
    </row>
    <row r="47" spans="1:13" x14ac:dyDescent="0.3">
      <c r="A47" s="133" t="s">
        <v>190</v>
      </c>
      <c r="B47" s="134"/>
      <c r="C47" s="106" t="s">
        <v>185</v>
      </c>
      <c r="D47" s="97" t="s">
        <v>186</v>
      </c>
    </row>
    <row r="48" spans="1:13" x14ac:dyDescent="0.3">
      <c r="A48" s="145" t="s">
        <v>191</v>
      </c>
      <c r="B48" s="66" t="s">
        <v>178</v>
      </c>
      <c r="C48" s="137">
        <f>SUMIFS(H7:H25, A7:A25, "Nutrient Offset")</f>
        <v>0</v>
      </c>
      <c r="D48" s="98">
        <f>SUMIF(A7:A25, "Nutrient Offset",  P7:P25)</f>
        <v>0</v>
      </c>
    </row>
    <row r="49" spans="1:4" ht="15" thickBot="1" x14ac:dyDescent="0.35">
      <c r="A49" s="146"/>
      <c r="B49" s="99" t="s">
        <v>179</v>
      </c>
      <c r="C49" s="138"/>
      <c r="D49" s="100">
        <f>SUMIF(A7:A25, "Nutrient Offset",  Q7:Q25)</f>
        <v>0</v>
      </c>
    </row>
    <row r="50" spans="1:4" x14ac:dyDescent="0.3">
      <c r="A50" s="103"/>
    </row>
  </sheetData>
  <sheetProtection algorithmName="SHA-512" hashValue="4U+A2+s1dCuU5nkkKvz0nc928PhCEc6UTxaF0aeNYeHwLDOmcsuL9zr5YXh+oNdny1CzRQxeDEH/W/3JMOzn4w==" saltValue="KnLbbhdRmFAWCHZW/ECsXQ==" spinCount="100000" sheet="1" deleteRows="0"/>
  <mergeCells count="13">
    <mergeCell ref="C48:C49"/>
    <mergeCell ref="A40:D40"/>
    <mergeCell ref="A46:D46"/>
    <mergeCell ref="A47:B47"/>
    <mergeCell ref="A48:A49"/>
    <mergeCell ref="A44:B44"/>
    <mergeCell ref="A45:B45"/>
    <mergeCell ref="A3:D3"/>
    <mergeCell ref="A4:D4"/>
    <mergeCell ref="A5:D5"/>
    <mergeCell ref="A42:B42"/>
    <mergeCell ref="A43:B43"/>
    <mergeCell ref="A41:B41"/>
  </mergeCells>
  <conditionalFormatting sqref="I31">
    <cfRule type="cellIs" dxfId="2" priority="3" operator="greaterThan">
      <formula>0.25001</formula>
    </cfRule>
  </conditionalFormatting>
  <conditionalFormatting sqref="I32">
    <cfRule type="cellIs" dxfId="1" priority="2" operator="greaterThan">
      <formula>0.25001</formula>
    </cfRule>
  </conditionalFormatting>
  <conditionalFormatting sqref="I39">
    <cfRule type="cellIs" dxfId="0" priority="1" operator="greaterThan">
      <formula>$H$32</formula>
    </cfRule>
  </conditionalFormatting>
  <dataValidations count="12">
    <dataValidation type="list" allowBlank="1" showInputMessage="1" showErrorMessage="1" sqref="B34:B38 A26 B7:B25" xr:uid="{00000000-0002-0000-0100-000000000000}">
      <formula1>"Urban, Rural"</formula1>
    </dataValidation>
    <dataValidation type="list" allowBlank="1" showInputMessage="1" showErrorMessage="1" sqref="C34:C38 E26 C7:C25" xr:uid="{00000000-0002-0000-0100-000001000000}">
      <formula1>"Yes, No"</formula1>
    </dataValidation>
    <dataValidation type="list" allowBlank="1" showInputMessage="1" showErrorMessage="1" sqref="F39:F40" xr:uid="{00000000-0002-0000-0100-000002000000}">
      <formula1>"Ephemeral, Stream, Pond, Ditch"</formula1>
    </dataValidation>
    <dataValidation type="list" allowBlank="1" showInputMessage="1" showErrorMessage="1" sqref="A39 B26" xr:uid="{00000000-0002-0000-0100-000003000000}">
      <formula1>"Nutrient Offset, Buffer"</formula1>
    </dataValidation>
    <dataValidation type="list" allowBlank="1" showInputMessage="1" showErrorMessage="1" sqref="A7:A25" xr:uid="{00000000-0002-0000-0100-000004000000}">
      <formula1>"Buffer, Nutrient Offset"</formula1>
    </dataValidation>
    <dataValidation type="list" allowBlank="1" showInputMessage="1" showErrorMessage="1" sqref="E7:E25" xr:uid="{00000000-0002-0000-0100-000005000000}">
      <formula1>"Restoration, Enhancement, Enhancement via Cattle Exclusion"</formula1>
    </dataValidation>
    <dataValidation type="list" allowBlank="1" showInputMessage="1" showErrorMessage="1" sqref="F34:F38 F7:F25" xr:uid="{00000000-0002-0000-0100-000006000000}">
      <formula1>"20-29, 0-100, 101-200, 0-50"</formula1>
    </dataValidation>
    <dataValidation type="list" allowBlank="1" showInputMessage="1" showErrorMessage="1" sqref="M7:M25 O7:O25" xr:uid="{00000000-0002-0000-0100-000007000000}">
      <formula1>"Yes, No, N/A"</formula1>
    </dataValidation>
    <dataValidation type="list" allowBlank="1" showInputMessage="1" showErrorMessage="1" sqref="D34:D38" xr:uid="{00000000-0002-0000-0100-000008000000}">
      <formula1>"Ephemeral, I / P, In-Line Pond"</formula1>
    </dataValidation>
    <dataValidation type="list" allowBlank="1" showInputMessage="1" showErrorMessage="1" sqref="D7:D25" xr:uid="{00000000-0002-0000-0100-000009000000}">
      <formula1>"Ephemeral, I / P, In-Line Pond, Ditch, Coastal Headwater"</formula1>
    </dataValidation>
    <dataValidation type="list" allowBlank="1" showInputMessage="1" showErrorMessage="1" sqref="D26" xr:uid="{00000000-0002-0000-0100-00000A000000}">
      <formula1>"Ephemeral, I / P, Pond, Ditch"</formula1>
    </dataValidation>
    <dataValidation type="list" allowBlank="1" showInputMessage="1" showErrorMessage="1" sqref="C26" xr:uid="{00000000-0002-0000-0100-00000B000000}">
      <formula1>"Restoration, Enhancement"</formula1>
    </dataValidation>
  </dataValidations>
  <printOptions horizontalCentered="1"/>
  <pageMargins left="0.25" right="0.25" top="0.75" bottom="0.75" header="0.3" footer="0.3"/>
  <pageSetup scale="59" orientation="landscape" r:id="rId1"/>
  <headerFooter>
    <oddFooter xml:space="preserve">&amp;L1.  The Randleman Lake buffer rules allow some ditches to be classified as subject according to 15A NCAC 02B .0250 (5)(a).
last updated 08/03/2020
</oddFooter>
  </headerFooter>
  <extLst>
    <ext xmlns:x14="http://schemas.microsoft.com/office/spreadsheetml/2009/9/main" uri="{78C0D931-6437-407d-A8EE-F0AAD7539E65}">
      <x14:conditionalFormattings>
        <x14:conditionalFormatting xmlns:xm="http://schemas.microsoft.com/office/excel/2006/main">
          <x14:cfRule type="iconSet" priority="4" id="{130C9711-A07A-46E3-A6BA-DC20F8B22C8E}">
            <x14:iconSet custom="1">
              <x14:cfvo type="percent">
                <xm:f>0</xm:f>
              </x14:cfvo>
              <x14:cfvo type="percent" gte="0">
                <xm:f>25.001000000000001</xm:f>
              </x14:cfvo>
              <x14:cfvo type="percent" gte="0">
                <xm:f>25.001000000000001</xm:f>
              </x14:cfvo>
              <x14:cfIcon iconSet="NoIcons" iconId="0"/>
              <x14:cfIcon iconSet="3Symbols" iconId="0"/>
              <x14:cfIcon iconSet="3Symbols" iconId="0"/>
            </x14:iconSet>
          </x14:cfRule>
          <xm:sqref>I31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C000000}">
          <x14:formula1>
            <xm:f>'CR for Nutrient Conversion'!$M$2:$M$76</xm:f>
          </x14:formula1>
          <xm:sqref>A3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3"/>
  <sheetViews>
    <sheetView zoomScaleNormal="100" zoomScaleSheetLayoutView="85" workbookViewId="0">
      <selection activeCell="D10" sqref="D10"/>
    </sheetView>
  </sheetViews>
  <sheetFormatPr defaultRowHeight="14.4" x14ac:dyDescent="0.3"/>
  <cols>
    <col min="1" max="1" width="10.6640625" bestFit="1" customWidth="1"/>
    <col min="2" max="2" width="33.44140625" bestFit="1" customWidth="1"/>
    <col min="3" max="3" width="16" bestFit="1" customWidth="1"/>
    <col min="4" max="4" width="14.6640625" customWidth="1"/>
    <col min="5" max="5" width="15.5546875" customWidth="1"/>
    <col min="6" max="6" width="13.6640625" hidden="1" customWidth="1"/>
    <col min="7" max="7" width="9.33203125" hidden="1" customWidth="1"/>
    <col min="8" max="8" width="10.33203125" hidden="1" customWidth="1"/>
    <col min="9" max="9" width="20.109375" hidden="1" customWidth="1"/>
    <col min="10" max="10" width="22.6640625" hidden="1" customWidth="1"/>
    <col min="11" max="11" width="17.33203125" customWidth="1"/>
    <col min="12" max="12" width="12.33203125" customWidth="1"/>
    <col min="13" max="13" width="48.44140625" hidden="1" customWidth="1"/>
    <col min="14" max="15" width="12.33203125" hidden="1" customWidth="1"/>
    <col min="16" max="16" width="12.33203125" customWidth="1"/>
  </cols>
  <sheetData>
    <row r="1" spans="2:15" ht="54" customHeight="1" x14ac:dyDescent="0.3">
      <c r="B1" s="40" t="s">
        <v>86</v>
      </c>
      <c r="C1" s="40" t="s">
        <v>20</v>
      </c>
      <c r="D1" s="3" t="s">
        <v>231</v>
      </c>
      <c r="E1" s="3" t="s">
        <v>232</v>
      </c>
      <c r="G1" t="s">
        <v>87</v>
      </c>
      <c r="H1" s="6">
        <v>2273.02</v>
      </c>
      <c r="I1" t="s">
        <v>8</v>
      </c>
      <c r="J1" t="s">
        <v>88</v>
      </c>
    </row>
    <row r="2" spans="2:15" x14ac:dyDescent="0.3">
      <c r="B2" s="41" t="s">
        <v>89</v>
      </c>
      <c r="C2" s="42" t="s">
        <v>90</v>
      </c>
      <c r="D2" s="42" t="s">
        <v>90</v>
      </c>
      <c r="E2" s="42" t="s">
        <v>90</v>
      </c>
      <c r="H2" s="9">
        <v>146.4</v>
      </c>
      <c r="I2" t="s">
        <v>91</v>
      </c>
      <c r="M2" t="s">
        <v>89</v>
      </c>
      <c r="N2" s="2" t="s">
        <v>90</v>
      </c>
      <c r="O2" s="2" t="s">
        <v>90</v>
      </c>
    </row>
    <row r="3" spans="2:15" x14ac:dyDescent="0.3">
      <c r="B3" s="41" t="s">
        <v>92</v>
      </c>
      <c r="C3" s="42" t="s">
        <v>90</v>
      </c>
      <c r="D3" s="42" t="s">
        <v>90</v>
      </c>
      <c r="E3" s="42" t="s">
        <v>90</v>
      </c>
      <c r="M3" t="s">
        <v>92</v>
      </c>
      <c r="N3" s="2" t="s">
        <v>90</v>
      </c>
      <c r="O3" s="2" t="s">
        <v>90</v>
      </c>
    </row>
    <row r="4" spans="2:15" x14ac:dyDescent="0.3">
      <c r="B4" s="41" t="s">
        <v>214</v>
      </c>
      <c r="C4" s="42" t="s">
        <v>90</v>
      </c>
      <c r="D4" s="42">
        <v>19.16394</v>
      </c>
      <c r="E4" s="42">
        <v>297.54098999999997</v>
      </c>
      <c r="M4" t="s">
        <v>214</v>
      </c>
      <c r="N4" s="2">
        <v>19.16394</v>
      </c>
      <c r="O4" s="2">
        <v>297.54098999999997</v>
      </c>
    </row>
    <row r="5" spans="2:15" x14ac:dyDescent="0.3">
      <c r="B5" s="107" t="s">
        <v>215</v>
      </c>
      <c r="C5" s="42" t="s">
        <v>90</v>
      </c>
      <c r="D5" s="42">
        <v>19.16394</v>
      </c>
      <c r="E5" s="42">
        <v>297.54098999999997</v>
      </c>
      <c r="M5" t="s">
        <v>215</v>
      </c>
      <c r="N5" s="2">
        <v>19.16394</v>
      </c>
      <c r="O5" s="2">
        <v>297.54098999999997</v>
      </c>
    </row>
    <row r="6" spans="2:15" x14ac:dyDescent="0.3">
      <c r="B6" s="107" t="s">
        <v>213</v>
      </c>
      <c r="C6" s="42" t="s">
        <v>90</v>
      </c>
      <c r="D6" s="42">
        <v>19.16394</v>
      </c>
      <c r="E6" s="42" t="s">
        <v>90</v>
      </c>
      <c r="M6" t="s">
        <v>213</v>
      </c>
      <c r="N6" s="2">
        <v>19.16394</v>
      </c>
      <c r="O6" s="2" t="s">
        <v>90</v>
      </c>
    </row>
    <row r="7" spans="2:15" x14ac:dyDescent="0.3">
      <c r="B7" s="43" t="s">
        <v>93</v>
      </c>
      <c r="C7" s="42" t="s">
        <v>90</v>
      </c>
      <c r="D7" s="42">
        <v>19.16394</v>
      </c>
      <c r="E7" s="42" t="s">
        <v>90</v>
      </c>
      <c r="M7" t="s">
        <v>93</v>
      </c>
      <c r="N7" s="2">
        <v>19.16394</v>
      </c>
      <c r="O7" s="2" t="s">
        <v>90</v>
      </c>
    </row>
    <row r="8" spans="2:15" x14ac:dyDescent="0.3">
      <c r="B8" s="41" t="s">
        <v>94</v>
      </c>
      <c r="C8" s="42" t="s">
        <v>90</v>
      </c>
      <c r="D8" s="42">
        <v>19.16394</v>
      </c>
      <c r="E8" s="42" t="s">
        <v>90</v>
      </c>
      <c r="M8" t="s">
        <v>94</v>
      </c>
      <c r="N8" s="2">
        <v>19.16394</v>
      </c>
      <c r="O8" s="2" t="s">
        <v>90</v>
      </c>
    </row>
    <row r="9" spans="2:15" x14ac:dyDescent="0.3">
      <c r="B9" s="43" t="s">
        <v>95</v>
      </c>
      <c r="C9" s="42" t="s">
        <v>90</v>
      </c>
      <c r="D9" s="42">
        <v>19.16394</v>
      </c>
      <c r="E9" s="42" t="s">
        <v>90</v>
      </c>
      <c r="M9" t="s">
        <v>95</v>
      </c>
      <c r="N9" s="2">
        <v>19.16394</v>
      </c>
      <c r="O9" s="2" t="s">
        <v>90</v>
      </c>
    </row>
    <row r="10" spans="2:15" x14ac:dyDescent="0.3">
      <c r="B10" s="41" t="s">
        <v>96</v>
      </c>
      <c r="C10" s="42" t="s">
        <v>90</v>
      </c>
      <c r="D10" s="42">
        <v>19.16394</v>
      </c>
      <c r="E10" s="42">
        <v>297.54098999999997</v>
      </c>
      <c r="M10" t="s">
        <v>96</v>
      </c>
      <c r="N10" s="2">
        <v>19.16394</v>
      </c>
      <c r="O10" s="2">
        <v>297.54098999999997</v>
      </c>
    </row>
    <row r="11" spans="2:15" x14ac:dyDescent="0.3">
      <c r="B11" s="43" t="s">
        <v>97</v>
      </c>
      <c r="C11" s="42" t="s">
        <v>90</v>
      </c>
      <c r="D11" s="42">
        <v>19.16394</v>
      </c>
      <c r="E11" s="42">
        <v>297.54098999999997</v>
      </c>
      <c r="M11" t="s">
        <v>97</v>
      </c>
      <c r="N11" s="2">
        <v>19.16394</v>
      </c>
      <c r="O11" s="2">
        <v>297.54098999999997</v>
      </c>
    </row>
    <row r="12" spans="2:15" x14ac:dyDescent="0.3">
      <c r="B12" s="41" t="s">
        <v>98</v>
      </c>
      <c r="C12" s="42" t="s">
        <v>90</v>
      </c>
      <c r="D12" s="42">
        <v>19.16394</v>
      </c>
      <c r="E12" s="42">
        <v>297.54098999999997</v>
      </c>
      <c r="M12" t="s">
        <v>98</v>
      </c>
      <c r="N12" s="2">
        <v>19.16394</v>
      </c>
      <c r="O12" s="2">
        <v>297.54098999999997</v>
      </c>
    </row>
    <row r="13" spans="2:15" x14ac:dyDescent="0.3">
      <c r="B13" s="43" t="s">
        <v>99</v>
      </c>
      <c r="C13" s="42" t="s">
        <v>90</v>
      </c>
      <c r="D13" s="42">
        <v>19.16394</v>
      </c>
      <c r="E13" s="42">
        <v>297.54098999999997</v>
      </c>
      <c r="M13" t="s">
        <v>99</v>
      </c>
      <c r="N13" s="2">
        <v>19.16394</v>
      </c>
      <c r="O13" s="2">
        <v>297.54098999999997</v>
      </c>
    </row>
    <row r="14" spans="2:15" x14ac:dyDescent="0.3">
      <c r="B14" s="41" t="s">
        <v>100</v>
      </c>
      <c r="C14" s="42" t="s">
        <v>90</v>
      </c>
      <c r="D14" s="42">
        <v>19.16394</v>
      </c>
      <c r="E14" s="42">
        <v>297.54098999999997</v>
      </c>
      <c r="M14" t="s">
        <v>100</v>
      </c>
      <c r="N14" s="2">
        <v>19.16394</v>
      </c>
      <c r="O14" s="2">
        <v>297.54098999999997</v>
      </c>
    </row>
    <row r="15" spans="2:15" x14ac:dyDescent="0.3">
      <c r="B15" s="41" t="s">
        <v>101</v>
      </c>
      <c r="C15" s="42" t="s">
        <v>90</v>
      </c>
      <c r="D15" s="42" t="s">
        <v>90</v>
      </c>
      <c r="E15" s="42" t="s">
        <v>90</v>
      </c>
      <c r="M15" t="s">
        <v>101</v>
      </c>
      <c r="N15" s="2" t="s">
        <v>90</v>
      </c>
      <c r="O15" s="2" t="s">
        <v>90</v>
      </c>
    </row>
    <row r="16" spans="2:15" x14ac:dyDescent="0.3">
      <c r="M16" t="s">
        <v>105</v>
      </c>
      <c r="N16" s="2">
        <v>77.462040000000002</v>
      </c>
      <c r="O16" s="2">
        <v>3028.9966000000004</v>
      </c>
    </row>
    <row r="17" spans="2:15" x14ac:dyDescent="0.3">
      <c r="D17" s="15" t="s">
        <v>19</v>
      </c>
      <c r="E17" s="16"/>
      <c r="M17" t="s">
        <v>106</v>
      </c>
      <c r="N17" s="2">
        <v>52.339220000000005</v>
      </c>
      <c r="O17" s="2">
        <v>841.38794999999993</v>
      </c>
    </row>
    <row r="18" spans="2:15" ht="45.75" customHeight="1" x14ac:dyDescent="0.3">
      <c r="D18" s="44" t="s">
        <v>233</v>
      </c>
      <c r="E18" s="44" t="s">
        <v>234</v>
      </c>
      <c r="G18" t="s">
        <v>102</v>
      </c>
      <c r="J18" t="s">
        <v>103</v>
      </c>
      <c r="M18" t="s">
        <v>107</v>
      </c>
      <c r="N18" s="2">
        <v>44.012520000000002</v>
      </c>
      <c r="O18" s="2">
        <v>757.24914999999999</v>
      </c>
    </row>
    <row r="19" spans="2:15" ht="15" x14ac:dyDescent="0.3">
      <c r="B19" s="40" t="s">
        <v>86</v>
      </c>
      <c r="C19" s="40" t="s">
        <v>20</v>
      </c>
      <c r="D19" s="25" t="s">
        <v>235</v>
      </c>
      <c r="E19" s="25" t="s">
        <v>235</v>
      </c>
      <c r="G19" s="7" t="s">
        <v>14</v>
      </c>
      <c r="H19" s="8">
        <v>2249.36</v>
      </c>
      <c r="I19" s="8">
        <v>143.81</v>
      </c>
      <c r="M19" t="s">
        <v>108</v>
      </c>
      <c r="N19" s="2">
        <v>39.521450000000002</v>
      </c>
      <c r="O19" s="2">
        <v>688.40832</v>
      </c>
    </row>
    <row r="20" spans="2:15" x14ac:dyDescent="0.3">
      <c r="B20" s="7" t="s">
        <v>14</v>
      </c>
      <c r="C20" s="7" t="s">
        <v>27</v>
      </c>
      <c r="D20" s="30">
        <v>77.462040000000002</v>
      </c>
      <c r="E20" s="30">
        <v>3028.9966000000004</v>
      </c>
      <c r="G20" s="10" t="s">
        <v>15</v>
      </c>
      <c r="H20" s="11">
        <v>2169.2600000000002</v>
      </c>
      <c r="I20" s="11">
        <v>143.81</v>
      </c>
      <c r="M20" t="s">
        <v>109</v>
      </c>
      <c r="N20" s="2">
        <v>35.21002</v>
      </c>
      <c r="O20" s="2">
        <v>631.04095999999993</v>
      </c>
    </row>
    <row r="21" spans="2:15" x14ac:dyDescent="0.3">
      <c r="B21" s="7" t="s">
        <v>14</v>
      </c>
      <c r="C21" s="7" t="s">
        <v>28</v>
      </c>
      <c r="D21" s="30">
        <v>52.339220000000005</v>
      </c>
      <c r="E21" s="30">
        <v>841.38794999999993</v>
      </c>
      <c r="G21" s="12" t="s">
        <v>16</v>
      </c>
      <c r="H21" s="13">
        <v>2273.02</v>
      </c>
      <c r="I21" s="13">
        <v>146.4</v>
      </c>
      <c r="M21" t="s">
        <v>110</v>
      </c>
      <c r="N21" s="2">
        <v>129.10338999999999</v>
      </c>
      <c r="O21" s="2">
        <v>7572.4914899999994</v>
      </c>
    </row>
    <row r="22" spans="2:15" x14ac:dyDescent="0.3">
      <c r="B22" s="7" t="s">
        <v>14</v>
      </c>
      <c r="C22" s="7" t="s">
        <v>29</v>
      </c>
      <c r="D22" s="30">
        <v>44.012520000000002</v>
      </c>
      <c r="E22" s="30">
        <v>757.24914999999999</v>
      </c>
      <c r="M22" t="s">
        <v>111</v>
      </c>
      <c r="N22" s="2">
        <v>88.025040000000004</v>
      </c>
      <c r="O22" s="2">
        <v>2524.1638300000004</v>
      </c>
    </row>
    <row r="23" spans="2:15" x14ac:dyDescent="0.3">
      <c r="B23" s="7" t="s">
        <v>14</v>
      </c>
      <c r="C23" s="7" t="s">
        <v>30</v>
      </c>
      <c r="D23" s="30">
        <v>39.521450000000002</v>
      </c>
      <c r="E23" s="30">
        <v>688.40832</v>
      </c>
      <c r="M23" t="s">
        <v>112</v>
      </c>
      <c r="N23" s="2">
        <v>40.344810000000003</v>
      </c>
      <c r="O23" s="2">
        <v>704.41782000000001</v>
      </c>
    </row>
    <row r="24" spans="2:15" x14ac:dyDescent="0.3">
      <c r="B24" s="7" t="s">
        <v>14</v>
      </c>
      <c r="C24" s="7" t="s">
        <v>31</v>
      </c>
      <c r="D24" s="30">
        <v>35.21002</v>
      </c>
      <c r="E24" s="30">
        <v>631.04095999999993</v>
      </c>
      <c r="M24" t="s">
        <v>113</v>
      </c>
      <c r="N24" s="2">
        <v>60.517220000000002</v>
      </c>
      <c r="O24" s="2">
        <v>917.87775999999997</v>
      </c>
    </row>
    <row r="25" spans="2:15" x14ac:dyDescent="0.3">
      <c r="B25" s="7" t="s">
        <v>14</v>
      </c>
      <c r="C25" s="7" t="s">
        <v>32</v>
      </c>
      <c r="D25" s="30">
        <v>129.10338999999999</v>
      </c>
      <c r="E25" s="30">
        <v>7572.4914899999994</v>
      </c>
      <c r="M25" t="s">
        <v>114</v>
      </c>
      <c r="N25" s="2">
        <v>60.517220000000002</v>
      </c>
      <c r="O25" s="2">
        <v>946.56143999999995</v>
      </c>
    </row>
    <row r="26" spans="2:15" x14ac:dyDescent="0.3">
      <c r="B26" s="7" t="s">
        <v>14</v>
      </c>
      <c r="C26" s="7" t="s">
        <v>33</v>
      </c>
      <c r="D26" s="30">
        <v>88.025040000000004</v>
      </c>
      <c r="E26" s="30">
        <v>2524.1638300000004</v>
      </c>
      <c r="M26" t="s">
        <v>115</v>
      </c>
      <c r="N26" s="2">
        <v>41.203210000000006</v>
      </c>
      <c r="O26" s="2">
        <v>721.18966999999998</v>
      </c>
    </row>
    <row r="27" spans="2:15" x14ac:dyDescent="0.3">
      <c r="B27" s="7" t="s">
        <v>14</v>
      </c>
      <c r="C27" s="7" t="s">
        <v>34</v>
      </c>
      <c r="D27" s="30">
        <v>40.344810000000003</v>
      </c>
      <c r="E27" s="30">
        <v>704.41782000000001</v>
      </c>
      <c r="M27" t="s">
        <v>116</v>
      </c>
      <c r="N27" s="2">
        <v>35.862060000000007</v>
      </c>
      <c r="O27" s="2">
        <v>644.46736999999996</v>
      </c>
    </row>
    <row r="28" spans="2:15" x14ac:dyDescent="0.3">
      <c r="B28" s="7" t="s">
        <v>14</v>
      </c>
      <c r="C28" s="7" t="s">
        <v>35</v>
      </c>
      <c r="D28" s="30">
        <v>60.517220000000002</v>
      </c>
      <c r="E28" s="30">
        <v>917.87775999999997</v>
      </c>
      <c r="M28" t="s">
        <v>117</v>
      </c>
      <c r="N28" s="2">
        <v>32.275850000000005</v>
      </c>
      <c r="O28" s="2">
        <v>540.89224999999999</v>
      </c>
    </row>
    <row r="29" spans="2:15" x14ac:dyDescent="0.3">
      <c r="B29" s="7" t="s">
        <v>14</v>
      </c>
      <c r="C29" s="7" t="s">
        <v>36</v>
      </c>
      <c r="D29" s="30">
        <v>60.517220000000002</v>
      </c>
      <c r="E29" s="30">
        <v>946.56143999999995</v>
      </c>
      <c r="M29" t="s">
        <v>118</v>
      </c>
      <c r="N29" s="2">
        <v>44.012520000000002</v>
      </c>
      <c r="O29" s="2">
        <v>977.09568000000002</v>
      </c>
    </row>
    <row r="30" spans="2:15" x14ac:dyDescent="0.3">
      <c r="B30" s="7" t="s">
        <v>14</v>
      </c>
      <c r="C30" s="7" t="s">
        <v>37</v>
      </c>
      <c r="D30" s="30">
        <v>41.203210000000006</v>
      </c>
      <c r="E30" s="30">
        <v>721.18966999999998</v>
      </c>
      <c r="M30" t="s">
        <v>119</v>
      </c>
      <c r="N30" s="2">
        <v>77.462040000000002</v>
      </c>
      <c r="O30" s="2">
        <v>3786.24575</v>
      </c>
    </row>
    <row r="31" spans="2:15" x14ac:dyDescent="0.3">
      <c r="B31" s="7" t="s">
        <v>14</v>
      </c>
      <c r="C31" s="7" t="s">
        <v>38</v>
      </c>
      <c r="D31" s="30">
        <v>35.862060000000007</v>
      </c>
      <c r="E31" s="30">
        <v>644.46736999999996</v>
      </c>
      <c r="M31" t="s">
        <v>120</v>
      </c>
      <c r="N31" s="2">
        <v>46.108360000000005</v>
      </c>
      <c r="O31" s="2">
        <v>1009.66554</v>
      </c>
    </row>
    <row r="32" spans="2:15" x14ac:dyDescent="0.3">
      <c r="B32" s="7" t="s">
        <v>14</v>
      </c>
      <c r="C32" s="7" t="s">
        <v>39</v>
      </c>
      <c r="D32" s="30">
        <v>32.275850000000005</v>
      </c>
      <c r="E32" s="30">
        <v>540.89224999999999</v>
      </c>
      <c r="M32" t="s">
        <v>121</v>
      </c>
      <c r="N32" s="2">
        <v>30.258610000000001</v>
      </c>
      <c r="O32" s="2">
        <v>488.54783999999995</v>
      </c>
    </row>
    <row r="33" spans="2:15" x14ac:dyDescent="0.3">
      <c r="B33" s="7" t="s">
        <v>14</v>
      </c>
      <c r="C33" s="7" t="s">
        <v>40</v>
      </c>
      <c r="D33" s="30">
        <v>44.012520000000002</v>
      </c>
      <c r="E33" s="30">
        <v>977.09568000000002</v>
      </c>
      <c r="M33" t="s">
        <v>122</v>
      </c>
      <c r="N33" s="2">
        <v>49.655150000000006</v>
      </c>
      <c r="O33" s="2">
        <v>1594.20874</v>
      </c>
    </row>
    <row r="34" spans="2:15" x14ac:dyDescent="0.3">
      <c r="B34" s="7" t="s">
        <v>14</v>
      </c>
      <c r="C34" s="7" t="s">
        <v>41</v>
      </c>
      <c r="D34" s="30">
        <v>77.462040000000002</v>
      </c>
      <c r="E34" s="30">
        <v>3786.24575</v>
      </c>
      <c r="M34" t="s">
        <v>123</v>
      </c>
      <c r="N34" s="2">
        <v>53.793080000000003</v>
      </c>
      <c r="O34" s="2">
        <v>1682.7758899999999</v>
      </c>
    </row>
    <row r="35" spans="2:15" x14ac:dyDescent="0.3">
      <c r="B35" s="7" t="s">
        <v>14</v>
      </c>
      <c r="C35" s="7" t="s">
        <v>42</v>
      </c>
      <c r="D35" s="30">
        <v>46.108360000000005</v>
      </c>
      <c r="E35" s="30">
        <v>1009.66554</v>
      </c>
      <c r="M35" t="s">
        <v>124</v>
      </c>
      <c r="N35" s="2">
        <v>26.528099999999998</v>
      </c>
      <c r="O35" s="2">
        <v>473.28071999999997</v>
      </c>
    </row>
    <row r="36" spans="2:15" x14ac:dyDescent="0.3">
      <c r="B36" s="7" t="s">
        <v>14</v>
      </c>
      <c r="C36" s="7" t="s">
        <v>43</v>
      </c>
      <c r="D36" s="30">
        <v>30.258610000000001</v>
      </c>
      <c r="E36" s="30">
        <v>488.54783999999995</v>
      </c>
      <c r="M36" t="s">
        <v>125</v>
      </c>
      <c r="N36" s="2">
        <v>64.551699999999997</v>
      </c>
      <c r="O36" s="2">
        <v>2163.5690000000004</v>
      </c>
    </row>
    <row r="37" spans="2:15" x14ac:dyDescent="0.3">
      <c r="B37" s="7" t="s">
        <v>14</v>
      </c>
      <c r="C37" s="7" t="s">
        <v>44</v>
      </c>
      <c r="D37" s="30">
        <v>49.655150000000006</v>
      </c>
      <c r="E37" s="30">
        <v>1594.20874</v>
      </c>
      <c r="M37" t="s">
        <v>126</v>
      </c>
      <c r="N37" s="2">
        <v>69.162540000000007</v>
      </c>
      <c r="O37" s="2">
        <v>2163.5690000000004</v>
      </c>
    </row>
    <row r="38" spans="2:15" x14ac:dyDescent="0.3">
      <c r="B38" s="7" t="s">
        <v>14</v>
      </c>
      <c r="C38" s="7" t="s">
        <v>45</v>
      </c>
      <c r="D38" s="30">
        <v>53.793080000000003</v>
      </c>
      <c r="E38" s="30">
        <v>1682.7758899999999</v>
      </c>
      <c r="M38" t="s">
        <v>127</v>
      </c>
      <c r="N38" s="2">
        <v>27.275369999999999</v>
      </c>
      <c r="O38" s="2">
        <v>480.79310999999996</v>
      </c>
    </row>
    <row r="39" spans="2:15" x14ac:dyDescent="0.3">
      <c r="B39" s="7" t="s">
        <v>14</v>
      </c>
      <c r="C39" s="7" t="s">
        <v>46</v>
      </c>
      <c r="D39" s="30">
        <v>26.528099999999998</v>
      </c>
      <c r="E39" s="30">
        <v>473.28071999999997</v>
      </c>
      <c r="M39" t="s">
        <v>128</v>
      </c>
      <c r="N39" s="2">
        <v>60.517220000000002</v>
      </c>
      <c r="O39" s="2">
        <v>2019.33107</v>
      </c>
    </row>
    <row r="40" spans="2:15" x14ac:dyDescent="0.3">
      <c r="B40" s="7" t="s">
        <v>14</v>
      </c>
      <c r="C40" s="7" t="s">
        <v>47</v>
      </c>
      <c r="D40" s="30">
        <v>64.551699999999997</v>
      </c>
      <c r="E40" s="30">
        <v>2163.5690000000004</v>
      </c>
      <c r="M40" t="s">
        <v>129</v>
      </c>
      <c r="N40" s="2">
        <v>37.241370000000003</v>
      </c>
      <c r="O40" s="2">
        <v>605.79931999999997</v>
      </c>
    </row>
    <row r="41" spans="2:15" x14ac:dyDescent="0.3">
      <c r="B41" s="7" t="s">
        <v>14</v>
      </c>
      <c r="C41" s="7" t="s">
        <v>48</v>
      </c>
      <c r="D41" s="30">
        <v>69.162540000000007</v>
      </c>
      <c r="E41" s="30">
        <v>2163.5690000000004</v>
      </c>
      <c r="M41" t="s">
        <v>130</v>
      </c>
      <c r="N41" s="2">
        <v>35.862060000000007</v>
      </c>
      <c r="O41" s="2">
        <v>593.92090999999994</v>
      </c>
    </row>
    <row r="42" spans="2:15" x14ac:dyDescent="0.3">
      <c r="B42" s="7" t="s">
        <v>14</v>
      </c>
      <c r="C42" s="7" t="s">
        <v>49</v>
      </c>
      <c r="D42" s="30">
        <v>27.275369999999999</v>
      </c>
      <c r="E42" s="30">
        <v>480.79310999999996</v>
      </c>
      <c r="M42" t="s">
        <v>131</v>
      </c>
      <c r="N42" s="2">
        <v>28.903749999999999</v>
      </c>
      <c r="O42" s="2">
        <v>504.83276999999998</v>
      </c>
    </row>
    <row r="43" spans="2:15" x14ac:dyDescent="0.3">
      <c r="B43" s="7" t="s">
        <v>14</v>
      </c>
      <c r="C43" s="7" t="s">
        <v>50</v>
      </c>
      <c r="D43" s="30">
        <v>60.517220000000002</v>
      </c>
      <c r="E43" s="30">
        <v>2019.33107</v>
      </c>
      <c r="M43" t="s">
        <v>132</v>
      </c>
      <c r="N43" s="2">
        <v>36.538700000000006</v>
      </c>
      <c r="O43" s="2">
        <v>593.92090999999994</v>
      </c>
    </row>
    <row r="44" spans="2:15" x14ac:dyDescent="0.3">
      <c r="B44" s="7" t="s">
        <v>14</v>
      </c>
      <c r="C44" s="7" t="s">
        <v>51</v>
      </c>
      <c r="D44" s="30">
        <v>37.241370000000003</v>
      </c>
      <c r="E44" s="30">
        <v>605.79931999999997</v>
      </c>
      <c r="M44" t="s">
        <v>133</v>
      </c>
      <c r="N44" s="2">
        <v>35.862060000000007</v>
      </c>
      <c r="O44" s="2">
        <v>593.92090999999994</v>
      </c>
    </row>
    <row r="45" spans="2:15" x14ac:dyDescent="0.3">
      <c r="B45" s="7" t="s">
        <v>14</v>
      </c>
      <c r="C45" s="7" t="s">
        <v>52</v>
      </c>
      <c r="D45" s="30">
        <v>35.862060000000007</v>
      </c>
      <c r="E45" s="30">
        <v>593.92090999999994</v>
      </c>
      <c r="M45" t="s">
        <v>134</v>
      </c>
      <c r="N45" s="2">
        <v>25.820679999999999</v>
      </c>
      <c r="O45" s="2">
        <v>465.99947999999995</v>
      </c>
    </row>
    <row r="46" spans="2:15" x14ac:dyDescent="0.3">
      <c r="B46" s="7" t="s">
        <v>14</v>
      </c>
      <c r="C46" s="7" t="s">
        <v>53</v>
      </c>
      <c r="D46" s="30">
        <v>28.903749999999999</v>
      </c>
      <c r="E46" s="30">
        <v>504.83276999999998</v>
      </c>
      <c r="M46" t="s">
        <v>135</v>
      </c>
      <c r="N46" s="2">
        <v>29.34168</v>
      </c>
      <c r="O46" s="2">
        <v>504.83276999999998</v>
      </c>
    </row>
    <row r="47" spans="2:15" x14ac:dyDescent="0.3">
      <c r="B47" s="7" t="s">
        <v>14</v>
      </c>
      <c r="C47" s="7" t="s">
        <v>54</v>
      </c>
      <c r="D47" s="30">
        <v>36.538700000000006</v>
      </c>
      <c r="E47" s="30">
        <v>593.92090999999994</v>
      </c>
      <c r="M47" t="s">
        <v>136</v>
      </c>
      <c r="N47" s="2">
        <v>26.169609999999999</v>
      </c>
      <c r="O47" s="2">
        <v>445.44067999999999</v>
      </c>
    </row>
    <row r="48" spans="2:15" x14ac:dyDescent="0.3">
      <c r="B48" s="7" t="s">
        <v>14</v>
      </c>
      <c r="C48" s="7" t="s">
        <v>55</v>
      </c>
      <c r="D48" s="30">
        <v>35.862060000000007</v>
      </c>
      <c r="E48" s="30">
        <v>593.92090999999994</v>
      </c>
      <c r="M48" t="s">
        <v>137</v>
      </c>
      <c r="N48" s="2">
        <v>23.90804</v>
      </c>
      <c r="O48" s="2">
        <v>409.32387</v>
      </c>
    </row>
    <row r="49" spans="2:15" x14ac:dyDescent="0.3">
      <c r="B49" s="7" t="s">
        <v>14</v>
      </c>
      <c r="C49" s="7" t="s">
        <v>56</v>
      </c>
      <c r="D49" s="30">
        <v>25.820679999999999</v>
      </c>
      <c r="E49" s="30">
        <v>465.99947999999995</v>
      </c>
      <c r="M49" t="s">
        <v>138</v>
      </c>
      <c r="N49" s="2">
        <v>46.108360000000005</v>
      </c>
      <c r="O49" s="2">
        <v>1781.76271</v>
      </c>
    </row>
    <row r="50" spans="2:15" x14ac:dyDescent="0.3">
      <c r="B50" s="7" t="s">
        <v>14</v>
      </c>
      <c r="C50" s="7" t="s">
        <v>57</v>
      </c>
      <c r="D50" s="30">
        <v>29.34168</v>
      </c>
      <c r="E50" s="30">
        <v>504.83276999999998</v>
      </c>
      <c r="M50" t="s">
        <v>139</v>
      </c>
      <c r="N50" s="2">
        <v>24.206890000000001</v>
      </c>
      <c r="O50" s="2">
        <v>414.93104999999997</v>
      </c>
    </row>
    <row r="51" spans="2:15" x14ac:dyDescent="0.3">
      <c r="B51" s="7" t="s">
        <v>14</v>
      </c>
      <c r="C51" s="7" t="s">
        <v>58</v>
      </c>
      <c r="D51" s="30">
        <v>26.169609999999999</v>
      </c>
      <c r="E51" s="30">
        <v>445.44067999999999</v>
      </c>
      <c r="M51" t="s">
        <v>140</v>
      </c>
      <c r="N51" s="2">
        <v>27.275369999999999</v>
      </c>
      <c r="O51" s="2">
        <v>452.08904999999999</v>
      </c>
    </row>
    <row r="52" spans="2:15" x14ac:dyDescent="0.3">
      <c r="B52" s="7" t="s">
        <v>14</v>
      </c>
      <c r="C52" s="7" t="s">
        <v>59</v>
      </c>
      <c r="D52" s="30">
        <v>23.90804</v>
      </c>
      <c r="E52" s="30">
        <v>409.32387</v>
      </c>
      <c r="M52" t="s">
        <v>141</v>
      </c>
      <c r="N52" s="2">
        <v>24.513310000000001</v>
      </c>
      <c r="O52" s="2">
        <v>414.93104999999997</v>
      </c>
    </row>
    <row r="53" spans="2:15" x14ac:dyDescent="0.3">
      <c r="B53" s="7" t="s">
        <v>14</v>
      </c>
      <c r="C53" s="7" t="s">
        <v>60</v>
      </c>
      <c r="D53" s="30">
        <v>46.108360000000005</v>
      </c>
      <c r="E53" s="30">
        <v>1781.76271</v>
      </c>
      <c r="M53" t="s">
        <v>142</v>
      </c>
      <c r="N53" s="2">
        <v>24.827580000000001</v>
      </c>
      <c r="O53" s="2">
        <v>420.69397999999995</v>
      </c>
    </row>
    <row r="54" spans="2:15" x14ac:dyDescent="0.3">
      <c r="B54" s="7" t="s">
        <v>14</v>
      </c>
      <c r="C54" s="7" t="s">
        <v>61</v>
      </c>
      <c r="D54" s="30">
        <v>24.206890000000001</v>
      </c>
      <c r="E54" s="30">
        <v>414.93105000000003</v>
      </c>
      <c r="M54" t="s">
        <v>143</v>
      </c>
      <c r="N54" s="2">
        <v>24.206890000000001</v>
      </c>
      <c r="O54" s="2">
        <v>414.93104999999997</v>
      </c>
    </row>
    <row r="55" spans="2:15" x14ac:dyDescent="0.3">
      <c r="B55" s="7" t="s">
        <v>14</v>
      </c>
      <c r="C55" s="7" t="s">
        <v>62</v>
      </c>
      <c r="D55" s="30">
        <v>27.275369999999999</v>
      </c>
      <c r="E55" s="30">
        <v>452.08904999999999</v>
      </c>
      <c r="M55" t="s">
        <v>144</v>
      </c>
      <c r="N55" s="2">
        <v>24.513310000000001</v>
      </c>
      <c r="O55" s="2">
        <v>414.93104999999997</v>
      </c>
    </row>
    <row r="56" spans="2:15" x14ac:dyDescent="0.3">
      <c r="B56" s="7" t="s">
        <v>14</v>
      </c>
      <c r="C56" s="7" t="s">
        <v>63</v>
      </c>
      <c r="D56" s="30">
        <v>24.513310000000001</v>
      </c>
      <c r="E56" s="30">
        <v>414.93104999999997</v>
      </c>
      <c r="M56" t="s">
        <v>145</v>
      </c>
      <c r="N56" s="2">
        <v>23.90804</v>
      </c>
      <c r="O56" s="2">
        <v>403.86622</v>
      </c>
    </row>
    <row r="57" spans="2:15" x14ac:dyDescent="0.3">
      <c r="B57" s="7" t="s">
        <v>14</v>
      </c>
      <c r="C57" s="7" t="s">
        <v>64</v>
      </c>
      <c r="D57" s="30">
        <v>24.827580000000001</v>
      </c>
      <c r="E57" s="30">
        <v>420.69397999999995</v>
      </c>
      <c r="M57" t="s">
        <v>146</v>
      </c>
      <c r="N57" s="2">
        <v>23.90804</v>
      </c>
      <c r="O57" s="2">
        <v>409.32387</v>
      </c>
    </row>
    <row r="58" spans="2:15" x14ac:dyDescent="0.3">
      <c r="B58" s="7" t="s">
        <v>14</v>
      </c>
      <c r="C58" s="7" t="s">
        <v>65</v>
      </c>
      <c r="D58" s="30">
        <v>24.206890000000001</v>
      </c>
      <c r="E58" s="30">
        <v>414.93104999999997</v>
      </c>
      <c r="M58" t="s">
        <v>147</v>
      </c>
      <c r="N58" s="2">
        <v>20.38475</v>
      </c>
      <c r="O58" s="2">
        <v>312.26768999999996</v>
      </c>
    </row>
    <row r="59" spans="2:15" x14ac:dyDescent="0.3">
      <c r="B59" s="7" t="s">
        <v>14</v>
      </c>
      <c r="C59" s="7" t="s">
        <v>66</v>
      </c>
      <c r="D59" s="30">
        <v>24.513310000000001</v>
      </c>
      <c r="E59" s="30">
        <v>414.93104999999997</v>
      </c>
      <c r="M59" t="s">
        <v>148</v>
      </c>
      <c r="N59" s="2">
        <v>22.006260000000001</v>
      </c>
      <c r="O59" s="2">
        <v>332.85676999999998</v>
      </c>
    </row>
    <row r="60" spans="2:15" x14ac:dyDescent="0.3">
      <c r="B60" s="7" t="s">
        <v>14</v>
      </c>
      <c r="C60" s="7" t="s">
        <v>67</v>
      </c>
      <c r="D60" s="30">
        <v>23.90804</v>
      </c>
      <c r="E60" s="30">
        <v>403.86622</v>
      </c>
      <c r="M60" t="s">
        <v>149</v>
      </c>
      <c r="N60" s="2">
        <v>19.964449999999999</v>
      </c>
      <c r="O60" s="2">
        <v>309.08128999999997</v>
      </c>
    </row>
    <row r="61" spans="2:15" x14ac:dyDescent="0.3">
      <c r="B61" s="7" t="s">
        <v>14</v>
      </c>
      <c r="C61" s="7" t="s">
        <v>68</v>
      </c>
      <c r="D61" s="30">
        <v>23.90804</v>
      </c>
      <c r="E61" s="30">
        <v>409.32387</v>
      </c>
      <c r="M61" t="s">
        <v>150</v>
      </c>
      <c r="N61" s="2">
        <v>21.049469999999999</v>
      </c>
      <c r="O61" s="2">
        <v>318.84174999999999</v>
      </c>
    </row>
    <row r="62" spans="2:15" x14ac:dyDescent="0.3">
      <c r="B62" s="7" t="s">
        <v>14</v>
      </c>
      <c r="C62" s="7" t="s">
        <v>69</v>
      </c>
      <c r="D62" s="30">
        <v>20.38475</v>
      </c>
      <c r="E62" s="30">
        <v>312.26768999999996</v>
      </c>
      <c r="M62" t="s">
        <v>151</v>
      </c>
      <c r="N62" s="2">
        <v>19.760729999999999</v>
      </c>
      <c r="O62" s="2">
        <v>305.95925999999997</v>
      </c>
    </row>
    <row r="63" spans="2:15" x14ac:dyDescent="0.3">
      <c r="B63" s="7" t="s">
        <v>14</v>
      </c>
      <c r="C63" s="7" t="s">
        <v>70</v>
      </c>
      <c r="D63" s="30">
        <v>22.006260000000001</v>
      </c>
      <c r="E63" s="30">
        <v>332.85676999999998</v>
      </c>
      <c r="M63" t="s">
        <v>152</v>
      </c>
      <c r="N63" s="2">
        <v>50.201460000000004</v>
      </c>
      <c r="O63" s="2">
        <v>1594.20874</v>
      </c>
    </row>
    <row r="64" spans="2:15" x14ac:dyDescent="0.3">
      <c r="B64" s="7" t="s">
        <v>14</v>
      </c>
      <c r="C64" s="7" t="s">
        <v>71</v>
      </c>
      <c r="D64" s="30">
        <v>19.964449999999999</v>
      </c>
      <c r="E64" s="30">
        <v>309.08128999999997</v>
      </c>
      <c r="M64" t="s">
        <v>153</v>
      </c>
      <c r="N64" s="2">
        <v>34.034890000000004</v>
      </c>
      <c r="O64" s="2">
        <v>673.11036000000001</v>
      </c>
    </row>
    <row r="65" spans="2:15" x14ac:dyDescent="0.3">
      <c r="B65" s="7" t="s">
        <v>14</v>
      </c>
      <c r="C65" s="7" t="s">
        <v>72</v>
      </c>
      <c r="D65" s="30">
        <v>21.049469999999999</v>
      </c>
      <c r="E65" s="30">
        <v>318.84174999999999</v>
      </c>
      <c r="M65" t="s">
        <v>154</v>
      </c>
      <c r="N65" s="2">
        <v>29.1023</v>
      </c>
      <c r="O65" s="2">
        <v>480.79310999999996</v>
      </c>
    </row>
    <row r="66" spans="2:15" x14ac:dyDescent="0.3">
      <c r="B66" s="7" t="s">
        <v>14</v>
      </c>
      <c r="C66" s="7" t="s">
        <v>73</v>
      </c>
      <c r="D66" s="30">
        <v>19.760729999999999</v>
      </c>
      <c r="E66" s="30">
        <v>305.95925999999997</v>
      </c>
      <c r="M66" t="s">
        <v>155</v>
      </c>
      <c r="N66" s="2">
        <v>32.918990000000001</v>
      </c>
      <c r="O66" s="2">
        <v>522.24079999999992</v>
      </c>
    </row>
    <row r="67" spans="2:15" x14ac:dyDescent="0.3">
      <c r="B67" s="10" t="s">
        <v>15</v>
      </c>
      <c r="C67" s="10" t="s">
        <v>74</v>
      </c>
      <c r="D67" s="34">
        <v>50.201460000000004</v>
      </c>
      <c r="E67" s="34">
        <v>1594.20874</v>
      </c>
      <c r="M67" t="s">
        <v>156</v>
      </c>
      <c r="N67" s="2">
        <v>29.1023</v>
      </c>
      <c r="O67" s="2">
        <v>480.79310999999996</v>
      </c>
    </row>
    <row r="68" spans="2:15" x14ac:dyDescent="0.3">
      <c r="B68" s="10" t="s">
        <v>15</v>
      </c>
      <c r="C68" s="10" t="s">
        <v>75</v>
      </c>
      <c r="D68" s="34">
        <v>34.034890000000004</v>
      </c>
      <c r="E68" s="34">
        <v>673.11036000000001</v>
      </c>
      <c r="M68" t="s">
        <v>157</v>
      </c>
      <c r="N68" s="2">
        <v>23.624220000000001</v>
      </c>
      <c r="O68" s="2">
        <v>340.33669999999995</v>
      </c>
    </row>
    <row r="69" spans="2:15" x14ac:dyDescent="0.3">
      <c r="B69" s="10" t="s">
        <v>15</v>
      </c>
      <c r="C69" s="10" t="s">
        <v>76</v>
      </c>
      <c r="D69" s="34">
        <v>29.1023</v>
      </c>
      <c r="E69" s="34">
        <v>480.79310999999996</v>
      </c>
      <c r="M69" t="s">
        <v>158</v>
      </c>
      <c r="N69" s="2">
        <v>29.1023</v>
      </c>
      <c r="O69" s="2">
        <v>480.79310999999996</v>
      </c>
    </row>
    <row r="70" spans="2:15" x14ac:dyDescent="0.3">
      <c r="B70" s="10" t="s">
        <v>15</v>
      </c>
      <c r="C70" s="10" t="s">
        <v>77</v>
      </c>
      <c r="D70" s="34">
        <v>32.918990000000001</v>
      </c>
      <c r="E70" s="34">
        <v>522.24079999999992</v>
      </c>
      <c r="M70" t="s">
        <v>177</v>
      </c>
      <c r="N70" s="2">
        <v>22.545809999999999</v>
      </c>
      <c r="O70" s="2">
        <v>330.60109999999997</v>
      </c>
    </row>
    <row r="71" spans="2:15" x14ac:dyDescent="0.3">
      <c r="B71" s="10" t="s">
        <v>15</v>
      </c>
      <c r="C71" s="10" t="s">
        <v>78</v>
      </c>
      <c r="D71" s="34">
        <v>29.1023</v>
      </c>
      <c r="E71" s="34">
        <v>480.79310999999996</v>
      </c>
      <c r="M71" t="s">
        <v>171</v>
      </c>
      <c r="N71" s="2">
        <v>21.826719999999998</v>
      </c>
      <c r="O71" s="2">
        <v>322.23368999999997</v>
      </c>
    </row>
    <row r="72" spans="2:15" x14ac:dyDescent="0.3">
      <c r="B72" s="10" t="s">
        <v>15</v>
      </c>
      <c r="C72" s="10" t="s">
        <v>79</v>
      </c>
      <c r="D72" s="34">
        <v>23.624220000000001</v>
      </c>
      <c r="E72" s="34">
        <v>340.33669999999995</v>
      </c>
      <c r="M72" t="s">
        <v>176</v>
      </c>
      <c r="N72" s="2">
        <v>20.830369999999998</v>
      </c>
      <c r="O72" s="2">
        <v>316.53296999999998</v>
      </c>
    </row>
    <row r="73" spans="2:15" x14ac:dyDescent="0.3">
      <c r="B73" s="10" t="s">
        <v>15</v>
      </c>
      <c r="C73" s="10" t="s">
        <v>80</v>
      </c>
      <c r="D73" s="34">
        <v>29.1023</v>
      </c>
      <c r="E73" s="34">
        <v>480.79310999999996</v>
      </c>
      <c r="M73" t="s">
        <v>172</v>
      </c>
      <c r="N73" s="2">
        <v>21.36232</v>
      </c>
      <c r="O73" s="2">
        <v>315.52047999999996</v>
      </c>
    </row>
    <row r="74" spans="2:15" x14ac:dyDescent="0.3">
      <c r="B74" s="12" t="s">
        <v>16</v>
      </c>
      <c r="C74" s="12" t="s">
        <v>81</v>
      </c>
      <c r="D74" s="38">
        <v>22.545809999999999</v>
      </c>
      <c r="E74" s="38">
        <v>330.60109999999997</v>
      </c>
      <c r="M74" t="s">
        <v>175</v>
      </c>
      <c r="N74" s="2">
        <v>20.387170000000001</v>
      </c>
      <c r="O74" s="2">
        <v>309.93852999999996</v>
      </c>
    </row>
    <row r="75" spans="2:15" x14ac:dyDescent="0.3">
      <c r="B75" s="10" t="s">
        <v>15</v>
      </c>
      <c r="C75" s="10" t="s">
        <v>82</v>
      </c>
      <c r="D75" s="34">
        <v>21.826719999999998</v>
      </c>
      <c r="E75" s="34">
        <v>322.23368999999997</v>
      </c>
      <c r="M75" t="s">
        <v>173</v>
      </c>
      <c r="N75" s="2">
        <v>22.818850000000001</v>
      </c>
      <c r="O75" s="2">
        <v>332.85676999999998</v>
      </c>
    </row>
    <row r="76" spans="2:15" x14ac:dyDescent="0.3">
      <c r="B76" s="12" t="s">
        <v>16</v>
      </c>
      <c r="C76" s="12" t="s">
        <v>82</v>
      </c>
      <c r="D76" s="38">
        <v>20.830369999999998</v>
      </c>
      <c r="E76" s="38">
        <v>316.53296999999998</v>
      </c>
      <c r="M76" t="s">
        <v>174</v>
      </c>
      <c r="N76" s="2">
        <v>21.777200000000001</v>
      </c>
      <c r="O76" s="2">
        <v>326.96812</v>
      </c>
    </row>
    <row r="77" spans="2:15" x14ac:dyDescent="0.3">
      <c r="B77" s="10" t="s">
        <v>15</v>
      </c>
      <c r="C77" s="10" t="s">
        <v>83</v>
      </c>
      <c r="D77" s="34">
        <v>21.36232</v>
      </c>
      <c r="E77" s="34">
        <v>315.52047999999996</v>
      </c>
    </row>
    <row r="78" spans="2:15" x14ac:dyDescent="0.3">
      <c r="B78" s="12" t="s">
        <v>16</v>
      </c>
      <c r="C78" s="12" t="s">
        <v>83</v>
      </c>
      <c r="D78" s="38">
        <v>20.387170000000001</v>
      </c>
      <c r="E78" s="38">
        <v>309.93852999999996</v>
      </c>
    </row>
    <row r="79" spans="2:15" x14ac:dyDescent="0.3">
      <c r="B79" s="10" t="s">
        <v>15</v>
      </c>
      <c r="C79" s="10" t="s">
        <v>84</v>
      </c>
      <c r="D79" s="34">
        <v>22.818850000000001</v>
      </c>
      <c r="E79" s="34">
        <v>332.85676999999998</v>
      </c>
    </row>
    <row r="80" spans="2:15" x14ac:dyDescent="0.3">
      <c r="B80" s="12" t="s">
        <v>16</v>
      </c>
      <c r="C80" s="12" t="s">
        <v>84</v>
      </c>
      <c r="D80" s="38">
        <v>21.777200000000001</v>
      </c>
      <c r="E80" s="38">
        <v>326.96812</v>
      </c>
    </row>
    <row r="82" spans="2:5" x14ac:dyDescent="0.3">
      <c r="B82" s="147" t="s">
        <v>104</v>
      </c>
      <c r="C82" s="148"/>
      <c r="D82" s="148"/>
      <c r="E82" s="148"/>
    </row>
    <row r="83" spans="2:5" x14ac:dyDescent="0.3">
      <c r="B83" s="148"/>
      <c r="C83" s="148"/>
      <c r="D83" s="148"/>
      <c r="E83" s="148"/>
    </row>
  </sheetData>
  <sheetProtection algorithmName="SHA-512" hashValue="l5JPImbX8VaFbk3KH3K/xFzoO4b+E8KvyxUWSXT5ghrfAQ443wXJ7vOtcDRC1Qi6fuWMNDJ1NXWxpplwllMcuQ==" saltValue="Qrm6Zn53DmzubOc4c1oFpg==" spinCount="100000" sheet="1" objects="1" scenarios="1"/>
  <mergeCells count="1">
    <mergeCell ref="B82:E83"/>
  </mergeCells>
  <dataValidations count="1">
    <dataValidation type="textLength" operator="lessThanOrEqual" showInputMessage="1" showErrorMessage="1" errorTitle="Length Exceeded" error="This value must be less than or equal to 100 characters long." promptTitle="Text (required)" prompt="Maximum Length: 100 characters." sqref="B2:B4 B7:B15" xr:uid="{00000000-0002-0000-0200-000000000000}">
      <formula1>100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0"/>
  <sheetViews>
    <sheetView zoomScale="85" zoomScaleNormal="85" workbookViewId="0">
      <selection activeCell="E10" sqref="E10"/>
    </sheetView>
  </sheetViews>
  <sheetFormatPr defaultColWidth="12.6640625" defaultRowHeight="14.4" x14ac:dyDescent="0.3"/>
  <cols>
    <col min="1" max="1" width="32.6640625" bestFit="1" customWidth="1"/>
    <col min="2" max="2" width="24.6640625" customWidth="1"/>
    <col min="4" max="4" width="13.33203125" customWidth="1"/>
    <col min="5" max="6" width="12.6640625" style="14"/>
    <col min="7" max="7" width="12.33203125" style="4" customWidth="1"/>
    <col min="8" max="8" width="13.5546875" style="4" customWidth="1"/>
    <col min="9" max="9" width="12.6640625" style="5"/>
    <col min="10" max="10" width="13.44140625" style="5" customWidth="1"/>
    <col min="11" max="11" width="12.6640625" style="5"/>
    <col min="12" max="12" width="13.5546875" style="5" customWidth="1"/>
  </cols>
  <sheetData>
    <row r="1" spans="1:12" x14ac:dyDescent="0.3">
      <c r="B1" s="149" t="s">
        <v>10</v>
      </c>
      <c r="C1" s="149"/>
    </row>
    <row r="2" spans="1:12" x14ac:dyDescent="0.3">
      <c r="A2" s="70" t="s">
        <v>11</v>
      </c>
      <c r="B2" s="70" t="s">
        <v>12</v>
      </c>
      <c r="C2" s="70" t="s">
        <v>13</v>
      </c>
      <c r="H2"/>
      <c r="I2" s="6"/>
      <c r="J2"/>
      <c r="K2"/>
    </row>
    <row r="3" spans="1:12" x14ac:dyDescent="0.3">
      <c r="A3" s="7" t="s">
        <v>14</v>
      </c>
      <c r="B3" s="8">
        <v>2249.36</v>
      </c>
      <c r="C3" s="8">
        <v>143.81</v>
      </c>
      <c r="H3"/>
      <c r="I3" s="9"/>
      <c r="J3"/>
      <c r="K3"/>
    </row>
    <row r="4" spans="1:12" x14ac:dyDescent="0.3">
      <c r="A4" s="10" t="s">
        <v>15</v>
      </c>
      <c r="B4" s="11">
        <v>2169.2600000000002</v>
      </c>
      <c r="C4" s="11">
        <v>143.81</v>
      </c>
    </row>
    <row r="5" spans="1:12" x14ac:dyDescent="0.3">
      <c r="A5" s="12" t="s">
        <v>16</v>
      </c>
      <c r="B5" s="13">
        <v>2273.02</v>
      </c>
      <c r="C5" s="13">
        <v>146.4</v>
      </c>
    </row>
    <row r="6" spans="1:12" x14ac:dyDescent="0.3">
      <c r="G6" s="72" t="s">
        <v>17</v>
      </c>
      <c r="H6" s="73"/>
      <c r="I6" s="72" t="s">
        <v>18</v>
      </c>
      <c r="J6" s="73"/>
      <c r="K6" s="72" t="s">
        <v>19</v>
      </c>
      <c r="L6" s="73"/>
    </row>
    <row r="7" spans="1:12" ht="55.2" x14ac:dyDescent="0.3">
      <c r="A7" s="17" t="s">
        <v>11</v>
      </c>
      <c r="B7" s="18" t="s">
        <v>20</v>
      </c>
      <c r="C7" s="19" t="s">
        <v>21</v>
      </c>
      <c r="D7" s="19" t="s">
        <v>21</v>
      </c>
      <c r="E7" s="20" t="s">
        <v>22</v>
      </c>
      <c r="F7" s="20" t="s">
        <v>23</v>
      </c>
      <c r="G7" s="21" t="s">
        <v>236</v>
      </c>
      <c r="H7" s="21" t="s">
        <v>237</v>
      </c>
      <c r="I7" s="21" t="s">
        <v>236</v>
      </c>
      <c r="J7" s="21" t="s">
        <v>237</v>
      </c>
      <c r="K7" s="21" t="s">
        <v>236</v>
      </c>
      <c r="L7" s="21" t="s">
        <v>237</v>
      </c>
    </row>
    <row r="8" spans="1:12" ht="15" x14ac:dyDescent="0.3">
      <c r="A8" s="22"/>
      <c r="B8" s="23"/>
      <c r="C8" s="24" t="s">
        <v>24</v>
      </c>
      <c r="D8" s="71" t="s">
        <v>25</v>
      </c>
      <c r="E8" s="25" t="s">
        <v>26</v>
      </c>
      <c r="F8" s="25" t="s">
        <v>26</v>
      </c>
      <c r="G8" s="26" t="s">
        <v>235</v>
      </c>
      <c r="H8" s="26" t="s">
        <v>235</v>
      </c>
      <c r="I8" s="26" t="s">
        <v>235</v>
      </c>
      <c r="J8" s="26" t="s">
        <v>235</v>
      </c>
      <c r="K8" s="26" t="s">
        <v>235</v>
      </c>
      <c r="L8" s="26" t="s">
        <v>235</v>
      </c>
    </row>
    <row r="9" spans="1:12" x14ac:dyDescent="0.3">
      <c r="A9" s="7" t="s">
        <v>14</v>
      </c>
      <c r="B9" s="7" t="s">
        <v>27</v>
      </c>
      <c r="C9" s="27">
        <v>0.25</v>
      </c>
      <c r="D9" s="27">
        <v>0.1</v>
      </c>
      <c r="E9" s="28">
        <f t="shared" ref="E9:E55" si="0">C9*$B$3</f>
        <v>562.34</v>
      </c>
      <c r="F9" s="28">
        <f t="shared" ref="F9:F55" si="1">D9*$C$3</f>
        <v>14.381</v>
      </c>
      <c r="G9" s="29">
        <f>43560/E9</f>
        <v>77.462033645125715</v>
      </c>
      <c r="H9" s="29">
        <f>43560/F9</f>
        <v>3028.9965927265139</v>
      </c>
      <c r="I9" s="30">
        <v>77.462029999999999</v>
      </c>
      <c r="J9" s="30">
        <v>3028.9965900000002</v>
      </c>
      <c r="K9" s="30">
        <f>ROUNDUP(G9,5)</f>
        <v>77.462040000000002</v>
      </c>
      <c r="L9" s="30">
        <f t="shared" ref="L9:L69" si="2">ROUNDUP(H9,5)</f>
        <v>3028.9966000000004</v>
      </c>
    </row>
    <row r="10" spans="1:12" x14ac:dyDescent="0.3">
      <c r="A10" s="7" t="s">
        <v>14</v>
      </c>
      <c r="B10" s="7" t="s">
        <v>28</v>
      </c>
      <c r="C10" s="27">
        <v>0.37</v>
      </c>
      <c r="D10" s="27">
        <v>0.36</v>
      </c>
      <c r="E10" s="28">
        <f t="shared" si="0"/>
        <v>832.26319999999998</v>
      </c>
      <c r="F10" s="28">
        <f t="shared" si="1"/>
        <v>51.771599999999999</v>
      </c>
      <c r="G10" s="29">
        <f t="shared" ref="G10:H69" si="3">43560/E10</f>
        <v>52.339211922382248</v>
      </c>
      <c r="H10" s="29">
        <f t="shared" si="3"/>
        <v>841.38794242403173</v>
      </c>
      <c r="I10" s="30">
        <v>52.339210000000001</v>
      </c>
      <c r="J10" s="30">
        <v>841.38793999999996</v>
      </c>
      <c r="K10" s="30">
        <f t="shared" ref="K10:K69" si="4">ROUNDUP(G10,5)</f>
        <v>52.339220000000005</v>
      </c>
      <c r="L10" s="30">
        <f t="shared" si="2"/>
        <v>841.38794999999993</v>
      </c>
    </row>
    <row r="11" spans="1:12" x14ac:dyDescent="0.3">
      <c r="A11" s="7" t="s">
        <v>14</v>
      </c>
      <c r="B11" s="7" t="s">
        <v>29</v>
      </c>
      <c r="C11" s="27">
        <v>0.44</v>
      </c>
      <c r="D11" s="27">
        <v>0.4</v>
      </c>
      <c r="E11" s="28">
        <f t="shared" si="0"/>
        <v>989.71840000000009</v>
      </c>
      <c r="F11" s="28">
        <f t="shared" si="1"/>
        <v>57.524000000000001</v>
      </c>
      <c r="G11" s="29">
        <f t="shared" si="3"/>
        <v>44.012519116548702</v>
      </c>
      <c r="H11" s="29">
        <f t="shared" si="3"/>
        <v>757.24914818162847</v>
      </c>
      <c r="I11" s="30">
        <v>44.012520000000002</v>
      </c>
      <c r="J11" s="30">
        <v>757.24914999999999</v>
      </c>
      <c r="K11" s="30">
        <f t="shared" si="4"/>
        <v>44.012520000000002</v>
      </c>
      <c r="L11" s="30">
        <f t="shared" si="2"/>
        <v>757.24914999999999</v>
      </c>
    </row>
    <row r="12" spans="1:12" x14ac:dyDescent="0.3">
      <c r="A12" s="7" t="s">
        <v>14</v>
      </c>
      <c r="B12" s="7" t="s">
        <v>30</v>
      </c>
      <c r="C12" s="27">
        <v>0.49</v>
      </c>
      <c r="D12" s="27">
        <v>0.44</v>
      </c>
      <c r="E12" s="28">
        <f t="shared" si="0"/>
        <v>1102.1864</v>
      </c>
      <c r="F12" s="28">
        <f t="shared" si="1"/>
        <v>63.276400000000002</v>
      </c>
      <c r="G12" s="29">
        <f t="shared" si="3"/>
        <v>39.521445737309044</v>
      </c>
      <c r="H12" s="29">
        <f t="shared" si="3"/>
        <v>688.40831652875318</v>
      </c>
      <c r="I12" s="30">
        <v>39.521450000000002</v>
      </c>
      <c r="J12" s="30">
        <v>688.40832</v>
      </c>
      <c r="K12" s="30">
        <f t="shared" si="4"/>
        <v>39.521450000000002</v>
      </c>
      <c r="L12" s="30">
        <f t="shared" si="2"/>
        <v>688.40832</v>
      </c>
    </row>
    <row r="13" spans="1:12" x14ac:dyDescent="0.3">
      <c r="A13" s="7" t="s">
        <v>14</v>
      </c>
      <c r="B13" s="7" t="s">
        <v>31</v>
      </c>
      <c r="C13" s="27">
        <v>0.55000000000000004</v>
      </c>
      <c r="D13" s="27">
        <v>0.48</v>
      </c>
      <c r="E13" s="28">
        <f t="shared" si="0"/>
        <v>1237.1480000000001</v>
      </c>
      <c r="F13" s="28">
        <f t="shared" si="1"/>
        <v>69.028800000000004</v>
      </c>
      <c r="G13" s="29">
        <f t="shared" si="3"/>
        <v>35.210015293238961</v>
      </c>
      <c r="H13" s="29">
        <f t="shared" si="3"/>
        <v>631.0409568180238</v>
      </c>
      <c r="I13" s="30">
        <v>35.21002</v>
      </c>
      <c r="J13" s="30">
        <v>631.04096000000004</v>
      </c>
      <c r="K13" s="30">
        <f t="shared" si="4"/>
        <v>35.21002</v>
      </c>
      <c r="L13" s="30">
        <f t="shared" si="2"/>
        <v>631.04095999999993</v>
      </c>
    </row>
    <row r="14" spans="1:12" x14ac:dyDescent="0.3">
      <c r="A14" s="7" t="s">
        <v>14</v>
      </c>
      <c r="B14" s="7" t="s">
        <v>32</v>
      </c>
      <c r="C14" s="27">
        <v>0.15</v>
      </c>
      <c r="D14" s="27">
        <v>0.04</v>
      </c>
      <c r="E14" s="28">
        <f t="shared" si="0"/>
        <v>337.404</v>
      </c>
      <c r="F14" s="28">
        <f t="shared" si="1"/>
        <v>5.7524000000000006</v>
      </c>
      <c r="G14" s="29">
        <f t="shared" si="3"/>
        <v>129.10338940854288</v>
      </c>
      <c r="H14" s="29">
        <f t="shared" si="3"/>
        <v>7572.4914818162842</v>
      </c>
      <c r="I14" s="30">
        <v>129.10338999999999</v>
      </c>
      <c r="J14" s="30">
        <v>7572.4914799999997</v>
      </c>
      <c r="K14" s="30">
        <f t="shared" si="4"/>
        <v>129.10338999999999</v>
      </c>
      <c r="L14" s="30">
        <f t="shared" si="2"/>
        <v>7572.4914899999994</v>
      </c>
    </row>
    <row r="15" spans="1:12" x14ac:dyDescent="0.3">
      <c r="A15" s="7" t="s">
        <v>14</v>
      </c>
      <c r="B15" s="7" t="s">
        <v>33</v>
      </c>
      <c r="C15" s="27">
        <v>0.22</v>
      </c>
      <c r="D15" s="27">
        <v>0.12</v>
      </c>
      <c r="E15" s="28">
        <f t="shared" si="0"/>
        <v>494.85920000000004</v>
      </c>
      <c r="F15" s="28">
        <f t="shared" si="1"/>
        <v>17.257200000000001</v>
      </c>
      <c r="G15" s="29">
        <f t="shared" si="3"/>
        <v>88.025038233097405</v>
      </c>
      <c r="H15" s="29">
        <f t="shared" si="3"/>
        <v>2524.1638272720952</v>
      </c>
      <c r="I15" s="30">
        <v>88.025040000000004</v>
      </c>
      <c r="J15" s="30">
        <v>2524.16383</v>
      </c>
      <c r="K15" s="30">
        <f t="shared" si="4"/>
        <v>88.025040000000004</v>
      </c>
      <c r="L15" s="30">
        <f t="shared" si="2"/>
        <v>2524.1638300000004</v>
      </c>
    </row>
    <row r="16" spans="1:12" x14ac:dyDescent="0.3">
      <c r="A16" s="7" t="s">
        <v>14</v>
      </c>
      <c r="B16" s="7" t="s">
        <v>34</v>
      </c>
      <c r="C16" s="27">
        <v>0.48</v>
      </c>
      <c r="D16" s="27">
        <v>0.43</v>
      </c>
      <c r="E16" s="28">
        <f t="shared" si="0"/>
        <v>1079.6928</v>
      </c>
      <c r="F16" s="28">
        <f t="shared" si="1"/>
        <v>61.838299999999997</v>
      </c>
      <c r="G16" s="29">
        <f t="shared" si="3"/>
        <v>40.344809190169649</v>
      </c>
      <c r="H16" s="29">
        <f t="shared" si="3"/>
        <v>704.41781226198009</v>
      </c>
      <c r="I16" s="30">
        <v>40.344810000000003</v>
      </c>
      <c r="J16" s="30">
        <v>704.41781000000003</v>
      </c>
      <c r="K16" s="30">
        <f t="shared" si="4"/>
        <v>40.344810000000003</v>
      </c>
      <c r="L16" s="30">
        <f t="shared" si="2"/>
        <v>704.41782000000001</v>
      </c>
    </row>
    <row r="17" spans="1:12" x14ac:dyDescent="0.3">
      <c r="A17" s="7" t="s">
        <v>14</v>
      </c>
      <c r="B17" s="7" t="s">
        <v>35</v>
      </c>
      <c r="C17" s="27">
        <v>0.32</v>
      </c>
      <c r="D17" s="27">
        <v>0.33</v>
      </c>
      <c r="E17" s="28">
        <f t="shared" si="0"/>
        <v>719.79520000000002</v>
      </c>
      <c r="F17" s="28">
        <f t="shared" si="1"/>
        <v>47.457300000000004</v>
      </c>
      <c r="G17" s="29">
        <f t="shared" si="3"/>
        <v>60.517213785254469</v>
      </c>
      <c r="H17" s="29">
        <f t="shared" si="3"/>
        <v>917.8777553716709</v>
      </c>
      <c r="I17" s="30">
        <v>60.517209999999999</v>
      </c>
      <c r="J17" s="30">
        <v>917.87775999999997</v>
      </c>
      <c r="K17" s="30">
        <f t="shared" si="4"/>
        <v>60.517220000000002</v>
      </c>
      <c r="L17" s="30">
        <f t="shared" si="2"/>
        <v>917.87775999999997</v>
      </c>
    </row>
    <row r="18" spans="1:12" x14ac:dyDescent="0.3">
      <c r="A18" s="7" t="s">
        <v>14</v>
      </c>
      <c r="B18" s="7" t="s">
        <v>36</v>
      </c>
      <c r="C18" s="27">
        <v>0.32</v>
      </c>
      <c r="D18" s="27">
        <v>0.32</v>
      </c>
      <c r="E18" s="28">
        <f t="shared" si="0"/>
        <v>719.79520000000002</v>
      </c>
      <c r="F18" s="28">
        <f t="shared" si="1"/>
        <v>46.019200000000005</v>
      </c>
      <c r="G18" s="29">
        <f t="shared" si="3"/>
        <v>60.517213785254469</v>
      </c>
      <c r="H18" s="29">
        <f t="shared" si="3"/>
        <v>946.56143522703553</v>
      </c>
      <c r="I18" s="30">
        <v>60.517209999999999</v>
      </c>
      <c r="J18" s="30">
        <v>946.56143999999995</v>
      </c>
      <c r="K18" s="30">
        <f t="shared" si="4"/>
        <v>60.517220000000002</v>
      </c>
      <c r="L18" s="30">
        <f t="shared" si="2"/>
        <v>946.56143999999995</v>
      </c>
    </row>
    <row r="19" spans="1:12" x14ac:dyDescent="0.3">
      <c r="A19" s="7" t="s">
        <v>14</v>
      </c>
      <c r="B19" s="7" t="s">
        <v>37</v>
      </c>
      <c r="C19" s="27">
        <v>0.47</v>
      </c>
      <c r="D19" s="27">
        <v>0.42</v>
      </c>
      <c r="E19" s="28">
        <f t="shared" si="0"/>
        <v>1057.1992</v>
      </c>
      <c r="F19" s="28">
        <f t="shared" si="1"/>
        <v>60.400199999999998</v>
      </c>
      <c r="G19" s="29">
        <f t="shared" si="3"/>
        <v>41.203209385705172</v>
      </c>
      <c r="H19" s="29">
        <f t="shared" si="3"/>
        <v>721.18966493488438</v>
      </c>
      <c r="I19" s="30">
        <v>41.203209999999999</v>
      </c>
      <c r="J19" s="30">
        <v>721.18966</v>
      </c>
      <c r="K19" s="30">
        <f t="shared" si="4"/>
        <v>41.203210000000006</v>
      </c>
      <c r="L19" s="30">
        <f t="shared" si="2"/>
        <v>721.18966999999998</v>
      </c>
    </row>
    <row r="20" spans="1:12" x14ac:dyDescent="0.3">
      <c r="A20" s="7" t="s">
        <v>14</v>
      </c>
      <c r="B20" s="7" t="s">
        <v>38</v>
      </c>
      <c r="C20" s="27">
        <v>0.54</v>
      </c>
      <c r="D20" s="27">
        <v>0.47</v>
      </c>
      <c r="E20" s="28">
        <f t="shared" si="0"/>
        <v>1214.6544000000001</v>
      </c>
      <c r="F20" s="28">
        <f t="shared" si="1"/>
        <v>67.590699999999998</v>
      </c>
      <c r="G20" s="29">
        <f t="shared" si="3"/>
        <v>35.862052613484131</v>
      </c>
      <c r="H20" s="29">
        <f t="shared" si="3"/>
        <v>644.46736015457748</v>
      </c>
      <c r="I20" s="30">
        <v>35.862050000000004</v>
      </c>
      <c r="J20" s="30">
        <v>644.46735999999999</v>
      </c>
      <c r="K20" s="30">
        <f t="shared" si="4"/>
        <v>35.862060000000007</v>
      </c>
      <c r="L20" s="30">
        <f t="shared" si="2"/>
        <v>644.46736999999996</v>
      </c>
    </row>
    <row r="21" spans="1:12" x14ac:dyDescent="0.3">
      <c r="A21" s="7" t="s">
        <v>14</v>
      </c>
      <c r="B21" s="7" t="s">
        <v>39</v>
      </c>
      <c r="C21" s="27">
        <v>0.6</v>
      </c>
      <c r="D21" s="27">
        <v>0.56000000000000005</v>
      </c>
      <c r="E21" s="28">
        <f t="shared" si="0"/>
        <v>1349.616</v>
      </c>
      <c r="F21" s="28">
        <f t="shared" si="1"/>
        <v>80.533600000000007</v>
      </c>
      <c r="G21" s="29">
        <f t="shared" si="3"/>
        <v>32.27584735213572</v>
      </c>
      <c r="H21" s="29">
        <f t="shared" si="3"/>
        <v>540.89224870116323</v>
      </c>
      <c r="I21" s="30">
        <v>32.275849999999998</v>
      </c>
      <c r="J21" s="30">
        <v>540.89224999999999</v>
      </c>
      <c r="K21" s="30">
        <f t="shared" si="4"/>
        <v>32.275850000000005</v>
      </c>
      <c r="L21" s="30">
        <f t="shared" si="2"/>
        <v>540.89224999999999</v>
      </c>
    </row>
    <row r="22" spans="1:12" x14ac:dyDescent="0.3">
      <c r="A22" s="7" t="s">
        <v>14</v>
      </c>
      <c r="B22" s="7" t="s">
        <v>40</v>
      </c>
      <c r="C22" s="27">
        <v>0.44</v>
      </c>
      <c r="D22" s="27">
        <v>0.31</v>
      </c>
      <c r="E22" s="28">
        <f t="shared" si="0"/>
        <v>989.71840000000009</v>
      </c>
      <c r="F22" s="28">
        <f t="shared" si="1"/>
        <v>44.581099999999999</v>
      </c>
      <c r="G22" s="29">
        <f t="shared" si="3"/>
        <v>44.012519116548702</v>
      </c>
      <c r="H22" s="29">
        <f t="shared" si="3"/>
        <v>977.09567507306906</v>
      </c>
      <c r="I22" s="30">
        <v>44.012520000000002</v>
      </c>
      <c r="J22" s="30">
        <v>977.09568000000002</v>
      </c>
      <c r="K22" s="30">
        <f t="shared" si="4"/>
        <v>44.012520000000002</v>
      </c>
      <c r="L22" s="30">
        <f t="shared" si="2"/>
        <v>977.09568000000002</v>
      </c>
    </row>
    <row r="23" spans="1:12" x14ac:dyDescent="0.3">
      <c r="A23" s="7" t="s">
        <v>14</v>
      </c>
      <c r="B23" s="7" t="s">
        <v>41</v>
      </c>
      <c r="C23" s="27">
        <v>0.25</v>
      </c>
      <c r="D23" s="27">
        <v>0.08</v>
      </c>
      <c r="E23" s="28">
        <f t="shared" si="0"/>
        <v>562.34</v>
      </c>
      <c r="F23" s="28">
        <f t="shared" si="1"/>
        <v>11.504800000000001</v>
      </c>
      <c r="G23" s="29">
        <f t="shared" si="3"/>
        <v>77.462033645125715</v>
      </c>
      <c r="H23" s="29">
        <f t="shared" si="3"/>
        <v>3786.2457409081421</v>
      </c>
      <c r="I23" s="30">
        <v>77.462029999999999</v>
      </c>
      <c r="J23" s="30">
        <v>3786.2457399999998</v>
      </c>
      <c r="K23" s="30">
        <f t="shared" si="4"/>
        <v>77.462040000000002</v>
      </c>
      <c r="L23" s="30">
        <f t="shared" si="2"/>
        <v>3786.24575</v>
      </c>
    </row>
    <row r="24" spans="1:12" x14ac:dyDescent="0.3">
      <c r="A24" s="7" t="s">
        <v>14</v>
      </c>
      <c r="B24" s="7" t="s">
        <v>42</v>
      </c>
      <c r="C24" s="27">
        <v>0.42</v>
      </c>
      <c r="D24" s="27">
        <v>0.3</v>
      </c>
      <c r="E24" s="28">
        <f t="shared" si="0"/>
        <v>944.73120000000006</v>
      </c>
      <c r="F24" s="28">
        <f t="shared" si="1"/>
        <v>43.143000000000001</v>
      </c>
      <c r="G24" s="29">
        <f t="shared" si="3"/>
        <v>46.108353360193881</v>
      </c>
      <c r="H24" s="29">
        <f t="shared" si="3"/>
        <v>1009.665530908838</v>
      </c>
      <c r="I24" s="30">
        <v>46.108350000000002</v>
      </c>
      <c r="J24" s="30">
        <v>1009.66553</v>
      </c>
      <c r="K24" s="30">
        <f t="shared" si="4"/>
        <v>46.108360000000005</v>
      </c>
      <c r="L24" s="30">
        <f t="shared" si="2"/>
        <v>1009.66554</v>
      </c>
    </row>
    <row r="25" spans="1:12" x14ac:dyDescent="0.3">
      <c r="A25" s="7" t="s">
        <v>14</v>
      </c>
      <c r="B25" s="7" t="s">
        <v>43</v>
      </c>
      <c r="C25" s="27">
        <v>0.64</v>
      </c>
      <c r="D25" s="27">
        <v>0.62</v>
      </c>
      <c r="E25" s="28">
        <f t="shared" si="0"/>
        <v>1439.5904</v>
      </c>
      <c r="F25" s="28">
        <f t="shared" si="1"/>
        <v>89.162199999999999</v>
      </c>
      <c r="G25" s="29">
        <f t="shared" si="3"/>
        <v>30.258606892627235</v>
      </c>
      <c r="H25" s="29">
        <f t="shared" si="3"/>
        <v>488.54783753653453</v>
      </c>
      <c r="I25" s="30">
        <v>30.258610000000001</v>
      </c>
      <c r="J25" s="30">
        <v>488.54784000000001</v>
      </c>
      <c r="K25" s="30">
        <f t="shared" si="4"/>
        <v>30.258610000000001</v>
      </c>
      <c r="L25" s="30">
        <f t="shared" si="2"/>
        <v>488.54783999999995</v>
      </c>
    </row>
    <row r="26" spans="1:12" x14ac:dyDescent="0.3">
      <c r="A26" s="7" t="s">
        <v>14</v>
      </c>
      <c r="B26" s="7" t="s">
        <v>44</v>
      </c>
      <c r="C26" s="27">
        <v>0.39</v>
      </c>
      <c r="D26" s="27">
        <v>0.19</v>
      </c>
      <c r="E26" s="28">
        <f t="shared" si="0"/>
        <v>877.25040000000013</v>
      </c>
      <c r="F26" s="28">
        <f t="shared" si="1"/>
        <v>27.323900000000002</v>
      </c>
      <c r="G26" s="29">
        <f t="shared" si="3"/>
        <v>49.655149772516481</v>
      </c>
      <c r="H26" s="29">
        <f t="shared" si="3"/>
        <v>1594.2087330139548</v>
      </c>
      <c r="I26" s="30">
        <v>49.655149999999999</v>
      </c>
      <c r="J26" s="30">
        <v>1594.2087300000001</v>
      </c>
      <c r="K26" s="30">
        <f t="shared" si="4"/>
        <v>49.655150000000006</v>
      </c>
      <c r="L26" s="30">
        <f t="shared" si="2"/>
        <v>1594.20874</v>
      </c>
    </row>
    <row r="27" spans="1:12" x14ac:dyDescent="0.3">
      <c r="A27" s="7" t="s">
        <v>14</v>
      </c>
      <c r="B27" s="7" t="s">
        <v>45</v>
      </c>
      <c r="C27" s="27">
        <v>0.36</v>
      </c>
      <c r="D27" s="27">
        <v>0.18</v>
      </c>
      <c r="E27" s="28">
        <f t="shared" si="0"/>
        <v>809.76959999999997</v>
      </c>
      <c r="F27" s="28">
        <f t="shared" si="1"/>
        <v>25.8858</v>
      </c>
      <c r="G27" s="29">
        <f t="shared" si="3"/>
        <v>53.793078920226201</v>
      </c>
      <c r="H27" s="29">
        <f t="shared" si="3"/>
        <v>1682.7758848480635</v>
      </c>
      <c r="I27" s="30">
        <v>53.793080000000003</v>
      </c>
      <c r="J27" s="30">
        <v>1682.7758799999999</v>
      </c>
      <c r="K27" s="30">
        <f t="shared" si="4"/>
        <v>53.793080000000003</v>
      </c>
      <c r="L27" s="30">
        <f t="shared" si="2"/>
        <v>1682.7758899999999</v>
      </c>
    </row>
    <row r="28" spans="1:12" x14ac:dyDescent="0.3">
      <c r="A28" s="7" t="s">
        <v>14</v>
      </c>
      <c r="B28" s="7" t="s">
        <v>46</v>
      </c>
      <c r="C28" s="27">
        <v>0.73</v>
      </c>
      <c r="D28" s="27">
        <v>0.64</v>
      </c>
      <c r="E28" s="28">
        <f t="shared" si="0"/>
        <v>1642.0328</v>
      </c>
      <c r="F28" s="28">
        <f t="shared" si="1"/>
        <v>92.03840000000001</v>
      </c>
      <c r="G28" s="29">
        <f t="shared" si="3"/>
        <v>26.528093714084154</v>
      </c>
      <c r="H28" s="29">
        <f t="shared" si="3"/>
        <v>473.28071761351777</v>
      </c>
      <c r="I28" s="30">
        <v>26.528089999999999</v>
      </c>
      <c r="J28" s="30">
        <v>473.28071999999997</v>
      </c>
      <c r="K28" s="30">
        <f t="shared" si="4"/>
        <v>26.528099999999998</v>
      </c>
      <c r="L28" s="30">
        <f t="shared" si="2"/>
        <v>473.28071999999997</v>
      </c>
    </row>
    <row r="29" spans="1:12" x14ac:dyDescent="0.3">
      <c r="A29" s="7" t="s">
        <v>14</v>
      </c>
      <c r="B29" s="7" t="s">
        <v>47</v>
      </c>
      <c r="C29" s="27">
        <v>0.3</v>
      </c>
      <c r="D29" s="27">
        <v>0.14000000000000001</v>
      </c>
      <c r="E29" s="28">
        <f t="shared" si="0"/>
        <v>674.80799999999999</v>
      </c>
      <c r="F29" s="28">
        <f t="shared" si="1"/>
        <v>20.133400000000002</v>
      </c>
      <c r="G29" s="29">
        <f t="shared" si="3"/>
        <v>64.551694704271441</v>
      </c>
      <c r="H29" s="29">
        <f t="shared" si="3"/>
        <v>2163.5689948046529</v>
      </c>
      <c r="I29" s="30">
        <v>64.551689999999994</v>
      </c>
      <c r="J29" s="30">
        <v>2163.5689900000002</v>
      </c>
      <c r="K29" s="30">
        <f t="shared" si="4"/>
        <v>64.551699999999997</v>
      </c>
      <c r="L29" s="30">
        <f t="shared" si="2"/>
        <v>2163.5690000000004</v>
      </c>
    </row>
    <row r="30" spans="1:12" x14ac:dyDescent="0.3">
      <c r="A30" s="7" t="s">
        <v>14</v>
      </c>
      <c r="B30" s="7" t="s">
        <v>48</v>
      </c>
      <c r="C30" s="27">
        <v>0.28000000000000003</v>
      </c>
      <c r="D30" s="27">
        <v>0.14000000000000001</v>
      </c>
      <c r="E30" s="28">
        <f t="shared" si="0"/>
        <v>629.82080000000008</v>
      </c>
      <c r="F30" s="28">
        <f t="shared" si="1"/>
        <v>20.133400000000002</v>
      </c>
      <c r="G30" s="29">
        <f t="shared" si="3"/>
        <v>69.162530040290818</v>
      </c>
      <c r="H30" s="29">
        <f t="shared" si="3"/>
        <v>2163.5689948046529</v>
      </c>
      <c r="I30" s="30">
        <v>69.162530000000004</v>
      </c>
      <c r="J30" s="30">
        <v>2163.5689900000002</v>
      </c>
      <c r="K30" s="30">
        <f t="shared" si="4"/>
        <v>69.162540000000007</v>
      </c>
      <c r="L30" s="30">
        <f t="shared" si="2"/>
        <v>2163.5690000000004</v>
      </c>
    </row>
    <row r="31" spans="1:12" x14ac:dyDescent="0.3">
      <c r="A31" s="7" t="s">
        <v>14</v>
      </c>
      <c r="B31" s="7" t="s">
        <v>49</v>
      </c>
      <c r="C31" s="27">
        <v>0.71</v>
      </c>
      <c r="D31" s="27">
        <v>0.63</v>
      </c>
      <c r="E31" s="28">
        <f t="shared" si="0"/>
        <v>1597.0455999999999</v>
      </c>
      <c r="F31" s="28">
        <f t="shared" si="1"/>
        <v>90.600300000000004</v>
      </c>
      <c r="G31" s="29">
        <f t="shared" si="3"/>
        <v>27.275363959551314</v>
      </c>
      <c r="H31" s="29">
        <f t="shared" si="3"/>
        <v>480.79310995658955</v>
      </c>
      <c r="I31" s="30">
        <v>27.275359999999999</v>
      </c>
      <c r="J31" s="30">
        <v>480.79311000000001</v>
      </c>
      <c r="K31" s="30">
        <f t="shared" si="4"/>
        <v>27.275369999999999</v>
      </c>
      <c r="L31" s="30">
        <f t="shared" si="2"/>
        <v>480.79310999999996</v>
      </c>
    </row>
    <row r="32" spans="1:12" x14ac:dyDescent="0.3">
      <c r="A32" s="7" t="s">
        <v>14</v>
      </c>
      <c r="B32" s="7" t="s">
        <v>50</v>
      </c>
      <c r="C32" s="27">
        <v>0.32</v>
      </c>
      <c r="D32" s="27">
        <v>0.15</v>
      </c>
      <c r="E32" s="28">
        <f t="shared" si="0"/>
        <v>719.79520000000002</v>
      </c>
      <c r="F32" s="28">
        <f t="shared" si="1"/>
        <v>21.5715</v>
      </c>
      <c r="G32" s="29">
        <f t="shared" si="3"/>
        <v>60.517213785254469</v>
      </c>
      <c r="H32" s="29">
        <f t="shared" si="3"/>
        <v>2019.3310618176761</v>
      </c>
      <c r="I32" s="30">
        <v>60.517209999999999</v>
      </c>
      <c r="J32" s="30">
        <v>2019.33106</v>
      </c>
      <c r="K32" s="30">
        <f t="shared" si="4"/>
        <v>60.517220000000002</v>
      </c>
      <c r="L32" s="30">
        <f t="shared" si="2"/>
        <v>2019.33107</v>
      </c>
    </row>
    <row r="33" spans="1:12" x14ac:dyDescent="0.3">
      <c r="A33" s="7" t="s">
        <v>14</v>
      </c>
      <c r="B33" s="7" t="s">
        <v>51</v>
      </c>
      <c r="C33" s="27">
        <v>0.52</v>
      </c>
      <c r="D33" s="27">
        <v>0.5</v>
      </c>
      <c r="E33" s="28">
        <f t="shared" si="0"/>
        <v>1169.6672000000001</v>
      </c>
      <c r="F33" s="28">
        <f t="shared" si="1"/>
        <v>71.905000000000001</v>
      </c>
      <c r="G33" s="29">
        <f t="shared" si="3"/>
        <v>37.241362329387364</v>
      </c>
      <c r="H33" s="29">
        <f t="shared" si="3"/>
        <v>605.79931854530287</v>
      </c>
      <c r="I33" s="30">
        <v>37.24136</v>
      </c>
      <c r="J33" s="30">
        <v>605.79931999999997</v>
      </c>
      <c r="K33" s="30">
        <f t="shared" si="4"/>
        <v>37.241370000000003</v>
      </c>
      <c r="L33" s="30">
        <f t="shared" si="2"/>
        <v>605.79931999999997</v>
      </c>
    </row>
    <row r="34" spans="1:12" x14ac:dyDescent="0.3">
      <c r="A34" s="7" t="s">
        <v>14</v>
      </c>
      <c r="B34" s="7" t="s">
        <v>52</v>
      </c>
      <c r="C34" s="27">
        <v>0.54</v>
      </c>
      <c r="D34" s="27">
        <v>0.51</v>
      </c>
      <c r="E34" s="28">
        <f t="shared" si="0"/>
        <v>1214.6544000000001</v>
      </c>
      <c r="F34" s="28">
        <f t="shared" si="1"/>
        <v>73.343100000000007</v>
      </c>
      <c r="G34" s="29">
        <f t="shared" si="3"/>
        <v>35.862052613484131</v>
      </c>
      <c r="H34" s="29">
        <f t="shared" si="3"/>
        <v>593.92090053461061</v>
      </c>
      <c r="I34" s="30">
        <v>35.862050000000004</v>
      </c>
      <c r="J34" s="30">
        <v>593.92089999999996</v>
      </c>
      <c r="K34" s="30">
        <f t="shared" si="4"/>
        <v>35.862060000000007</v>
      </c>
      <c r="L34" s="30">
        <f t="shared" si="2"/>
        <v>593.92090999999994</v>
      </c>
    </row>
    <row r="35" spans="1:12" x14ac:dyDescent="0.3">
      <c r="A35" s="7" t="s">
        <v>14</v>
      </c>
      <c r="B35" s="7" t="s">
        <v>53</v>
      </c>
      <c r="C35" s="27">
        <v>0.67</v>
      </c>
      <c r="D35" s="27">
        <v>0.6</v>
      </c>
      <c r="E35" s="28">
        <f t="shared" si="0"/>
        <v>1507.0712000000001</v>
      </c>
      <c r="F35" s="28">
        <f t="shared" si="1"/>
        <v>86.286000000000001</v>
      </c>
      <c r="G35" s="29">
        <f t="shared" si="3"/>
        <v>28.903743897434971</v>
      </c>
      <c r="H35" s="29">
        <f t="shared" si="3"/>
        <v>504.83276545441902</v>
      </c>
      <c r="I35" s="30">
        <v>28.903739999999999</v>
      </c>
      <c r="J35" s="30">
        <v>504.83276999999998</v>
      </c>
      <c r="K35" s="30">
        <f t="shared" si="4"/>
        <v>28.903749999999999</v>
      </c>
      <c r="L35" s="30">
        <f t="shared" si="2"/>
        <v>504.83276999999998</v>
      </c>
    </row>
    <row r="36" spans="1:12" x14ac:dyDescent="0.3">
      <c r="A36" s="7" t="s">
        <v>14</v>
      </c>
      <c r="B36" s="7" t="s">
        <v>54</v>
      </c>
      <c r="C36" s="27">
        <v>0.53</v>
      </c>
      <c r="D36" s="27">
        <v>0.51</v>
      </c>
      <c r="E36" s="28">
        <f t="shared" si="0"/>
        <v>1192.1608000000001</v>
      </c>
      <c r="F36" s="28">
        <f t="shared" si="1"/>
        <v>73.343100000000007</v>
      </c>
      <c r="G36" s="29">
        <f t="shared" si="3"/>
        <v>36.538695115625337</v>
      </c>
      <c r="H36" s="29">
        <f t="shared" si="3"/>
        <v>593.92090053461061</v>
      </c>
      <c r="I36" s="30">
        <v>36.538699999999999</v>
      </c>
      <c r="J36" s="30">
        <v>593.92089999999996</v>
      </c>
      <c r="K36" s="30">
        <f t="shared" si="4"/>
        <v>36.538700000000006</v>
      </c>
      <c r="L36" s="30">
        <f t="shared" si="2"/>
        <v>593.92090999999994</v>
      </c>
    </row>
    <row r="37" spans="1:12" x14ac:dyDescent="0.3">
      <c r="A37" s="7" t="s">
        <v>14</v>
      </c>
      <c r="B37" s="7" t="s">
        <v>55</v>
      </c>
      <c r="C37" s="27">
        <v>0.54</v>
      </c>
      <c r="D37" s="27">
        <v>0.51</v>
      </c>
      <c r="E37" s="28">
        <f t="shared" si="0"/>
        <v>1214.6544000000001</v>
      </c>
      <c r="F37" s="28">
        <f t="shared" si="1"/>
        <v>73.343100000000007</v>
      </c>
      <c r="G37" s="29">
        <f t="shared" si="3"/>
        <v>35.862052613484131</v>
      </c>
      <c r="H37" s="29">
        <f t="shared" si="3"/>
        <v>593.92090053461061</v>
      </c>
      <c r="I37" s="30">
        <v>35.862050000000004</v>
      </c>
      <c r="J37" s="30">
        <v>593.92089999999996</v>
      </c>
      <c r="K37" s="30">
        <f t="shared" si="4"/>
        <v>35.862060000000007</v>
      </c>
      <c r="L37" s="30">
        <f t="shared" si="2"/>
        <v>593.92090999999994</v>
      </c>
    </row>
    <row r="38" spans="1:12" x14ac:dyDescent="0.3">
      <c r="A38" s="7" t="s">
        <v>14</v>
      </c>
      <c r="B38" s="7" t="s">
        <v>56</v>
      </c>
      <c r="C38" s="27">
        <v>0.75</v>
      </c>
      <c r="D38" s="27">
        <v>0.65</v>
      </c>
      <c r="E38" s="28">
        <f t="shared" si="0"/>
        <v>1687.02</v>
      </c>
      <c r="F38" s="28">
        <f t="shared" si="1"/>
        <v>93.476500000000001</v>
      </c>
      <c r="G38" s="29">
        <f t="shared" si="3"/>
        <v>25.820677881708576</v>
      </c>
      <c r="H38" s="29">
        <f t="shared" si="3"/>
        <v>465.99947580407911</v>
      </c>
      <c r="I38" s="30">
        <v>25.820679999999999</v>
      </c>
      <c r="J38" s="30">
        <v>465.99948000000001</v>
      </c>
      <c r="K38" s="30">
        <f t="shared" si="4"/>
        <v>25.820679999999999</v>
      </c>
      <c r="L38" s="30">
        <f t="shared" si="2"/>
        <v>465.99947999999995</v>
      </c>
    </row>
    <row r="39" spans="1:12" x14ac:dyDescent="0.3">
      <c r="A39" s="7" t="s">
        <v>14</v>
      </c>
      <c r="B39" s="7" t="s">
        <v>57</v>
      </c>
      <c r="C39" s="27">
        <v>0.66</v>
      </c>
      <c r="D39" s="27">
        <v>0.6</v>
      </c>
      <c r="E39" s="28">
        <f t="shared" si="0"/>
        <v>1484.5776000000001</v>
      </c>
      <c r="F39" s="28">
        <f t="shared" si="1"/>
        <v>86.286000000000001</v>
      </c>
      <c r="G39" s="29">
        <f t="shared" si="3"/>
        <v>29.341679411032469</v>
      </c>
      <c r="H39" s="29">
        <f t="shared" si="3"/>
        <v>504.83276545441902</v>
      </c>
      <c r="I39" s="30">
        <v>29.34168</v>
      </c>
      <c r="J39" s="30">
        <v>504.83276999999998</v>
      </c>
      <c r="K39" s="30">
        <f t="shared" si="4"/>
        <v>29.34168</v>
      </c>
      <c r="L39" s="30">
        <f t="shared" si="2"/>
        <v>504.83276999999998</v>
      </c>
    </row>
    <row r="40" spans="1:12" x14ac:dyDescent="0.3">
      <c r="A40" s="7" t="s">
        <v>14</v>
      </c>
      <c r="B40" s="7" t="s">
        <v>58</v>
      </c>
      <c r="C40" s="27">
        <v>0.74</v>
      </c>
      <c r="D40" s="27">
        <v>0.68</v>
      </c>
      <c r="E40" s="28">
        <f t="shared" si="0"/>
        <v>1664.5264</v>
      </c>
      <c r="F40" s="28">
        <f t="shared" si="1"/>
        <v>97.790800000000004</v>
      </c>
      <c r="G40" s="29">
        <f t="shared" si="3"/>
        <v>26.169605961191124</v>
      </c>
      <c r="H40" s="29">
        <f t="shared" si="3"/>
        <v>445.44067540095796</v>
      </c>
      <c r="I40" s="30">
        <v>26.169609999999999</v>
      </c>
      <c r="J40" s="30">
        <v>445.44067999999999</v>
      </c>
      <c r="K40" s="30">
        <f t="shared" si="4"/>
        <v>26.169609999999999</v>
      </c>
      <c r="L40" s="30">
        <f t="shared" si="2"/>
        <v>445.44067999999999</v>
      </c>
    </row>
    <row r="41" spans="1:12" x14ac:dyDescent="0.3">
      <c r="A41" s="7" t="s">
        <v>14</v>
      </c>
      <c r="B41" s="7" t="s">
        <v>59</v>
      </c>
      <c r="C41" s="27">
        <v>0.81</v>
      </c>
      <c r="D41" s="27">
        <v>0.74</v>
      </c>
      <c r="E41" s="28">
        <f t="shared" si="0"/>
        <v>1821.9816000000003</v>
      </c>
      <c r="F41" s="28">
        <f t="shared" si="1"/>
        <v>106.4194</v>
      </c>
      <c r="G41" s="29">
        <f t="shared" si="3"/>
        <v>23.908035075656084</v>
      </c>
      <c r="H41" s="29">
        <f t="shared" si="3"/>
        <v>409.32386388196142</v>
      </c>
      <c r="I41" s="30">
        <v>23.90804</v>
      </c>
      <c r="J41" s="30">
        <v>409.32386000000002</v>
      </c>
      <c r="K41" s="30">
        <f t="shared" si="4"/>
        <v>23.90804</v>
      </c>
      <c r="L41" s="30">
        <f t="shared" si="2"/>
        <v>409.32387</v>
      </c>
    </row>
    <row r="42" spans="1:12" x14ac:dyDescent="0.3">
      <c r="A42" s="7" t="s">
        <v>14</v>
      </c>
      <c r="B42" s="7" t="s">
        <v>60</v>
      </c>
      <c r="C42" s="27">
        <v>0.42</v>
      </c>
      <c r="D42" s="27">
        <v>0.17</v>
      </c>
      <c r="E42" s="28">
        <f t="shared" si="0"/>
        <v>944.73120000000006</v>
      </c>
      <c r="F42" s="28">
        <f t="shared" si="1"/>
        <v>24.447700000000001</v>
      </c>
      <c r="G42" s="29">
        <f t="shared" si="3"/>
        <v>46.108353360193881</v>
      </c>
      <c r="H42" s="29">
        <f t="shared" si="3"/>
        <v>1781.7627016038318</v>
      </c>
      <c r="I42" s="30">
        <v>46.108350000000002</v>
      </c>
      <c r="J42" s="30">
        <v>1781.7627</v>
      </c>
      <c r="K42" s="30">
        <f t="shared" si="4"/>
        <v>46.108360000000005</v>
      </c>
      <c r="L42" s="30">
        <f t="shared" si="2"/>
        <v>1781.76271</v>
      </c>
    </row>
    <row r="43" spans="1:12" x14ac:dyDescent="0.3">
      <c r="A43" s="7" t="s">
        <v>14</v>
      </c>
      <c r="B43" s="7" t="s">
        <v>61</v>
      </c>
      <c r="C43" s="27">
        <v>0.8</v>
      </c>
      <c r="D43" s="27">
        <v>0.73</v>
      </c>
      <c r="E43" s="28">
        <f t="shared" si="0"/>
        <v>1799.4880000000003</v>
      </c>
      <c r="F43" s="28">
        <f t="shared" si="1"/>
        <v>104.9813</v>
      </c>
      <c r="G43" s="29">
        <f t="shared" si="3"/>
        <v>24.206885514101785</v>
      </c>
      <c r="H43" s="29">
        <f t="shared" si="3"/>
        <v>414.93104009952248</v>
      </c>
      <c r="I43" s="30">
        <v>24.206890000000001</v>
      </c>
      <c r="J43" s="30">
        <v>414.93104</v>
      </c>
      <c r="K43" s="30">
        <f t="shared" si="4"/>
        <v>24.206890000000001</v>
      </c>
      <c r="L43" s="30">
        <f t="shared" si="2"/>
        <v>414.93104999999997</v>
      </c>
    </row>
    <row r="44" spans="1:12" x14ac:dyDescent="0.3">
      <c r="A44" s="7" t="s">
        <v>14</v>
      </c>
      <c r="B44" s="7" t="s">
        <v>62</v>
      </c>
      <c r="C44" s="27">
        <v>0.71</v>
      </c>
      <c r="D44" s="27">
        <v>0.67</v>
      </c>
      <c r="E44" s="28">
        <f t="shared" si="0"/>
        <v>1597.0455999999999</v>
      </c>
      <c r="F44" s="28">
        <f t="shared" si="1"/>
        <v>96.352700000000013</v>
      </c>
      <c r="G44" s="29">
        <f t="shared" si="3"/>
        <v>27.275363959551314</v>
      </c>
      <c r="H44" s="29">
        <f t="shared" si="3"/>
        <v>452.08904369052442</v>
      </c>
      <c r="I44" s="30">
        <v>27.275359999999999</v>
      </c>
      <c r="J44" s="30">
        <v>452.08904000000001</v>
      </c>
      <c r="K44" s="30">
        <f t="shared" si="4"/>
        <v>27.275369999999999</v>
      </c>
      <c r="L44" s="30">
        <f t="shared" si="2"/>
        <v>452.08904999999999</v>
      </c>
    </row>
    <row r="45" spans="1:12" x14ac:dyDescent="0.3">
      <c r="A45" s="7" t="s">
        <v>14</v>
      </c>
      <c r="B45" s="7" t="s">
        <v>63</v>
      </c>
      <c r="C45" s="27">
        <v>0.79</v>
      </c>
      <c r="D45" s="27">
        <v>0.73</v>
      </c>
      <c r="E45" s="28">
        <f t="shared" si="0"/>
        <v>1776.9944000000003</v>
      </c>
      <c r="F45" s="28">
        <f t="shared" si="1"/>
        <v>104.9813</v>
      </c>
      <c r="G45" s="29">
        <f t="shared" si="3"/>
        <v>24.513301786432187</v>
      </c>
      <c r="H45" s="29">
        <f t="shared" si="3"/>
        <v>414.93104009952248</v>
      </c>
      <c r="I45" s="30">
        <v>24.513300000000001</v>
      </c>
      <c r="J45" s="30">
        <v>414.93104</v>
      </c>
      <c r="K45" s="30">
        <f t="shared" si="4"/>
        <v>24.513310000000001</v>
      </c>
      <c r="L45" s="30">
        <f t="shared" si="2"/>
        <v>414.93104999999997</v>
      </c>
    </row>
    <row r="46" spans="1:12" x14ac:dyDescent="0.3">
      <c r="A46" s="7" t="s">
        <v>14</v>
      </c>
      <c r="B46" s="7" t="s">
        <v>64</v>
      </c>
      <c r="C46" s="27">
        <v>0.78</v>
      </c>
      <c r="D46" s="27">
        <v>0.72</v>
      </c>
      <c r="E46" s="28">
        <f t="shared" si="0"/>
        <v>1754.5008000000003</v>
      </c>
      <c r="F46" s="28">
        <f t="shared" si="1"/>
        <v>103.5432</v>
      </c>
      <c r="G46" s="29">
        <f t="shared" si="3"/>
        <v>24.82757488625824</v>
      </c>
      <c r="H46" s="29">
        <f t="shared" si="3"/>
        <v>420.69397121201587</v>
      </c>
      <c r="I46" s="30">
        <v>24.827570000000001</v>
      </c>
      <c r="J46" s="30">
        <v>420.69396999999998</v>
      </c>
      <c r="K46" s="30">
        <f t="shared" si="4"/>
        <v>24.827580000000001</v>
      </c>
      <c r="L46" s="30">
        <f t="shared" si="2"/>
        <v>420.69397999999995</v>
      </c>
    </row>
    <row r="47" spans="1:12" x14ac:dyDescent="0.3">
      <c r="A47" s="7" t="s">
        <v>14</v>
      </c>
      <c r="B47" s="7" t="s">
        <v>65</v>
      </c>
      <c r="C47" s="27">
        <v>0.8</v>
      </c>
      <c r="D47" s="27">
        <v>0.73</v>
      </c>
      <c r="E47" s="28">
        <f t="shared" si="0"/>
        <v>1799.4880000000003</v>
      </c>
      <c r="F47" s="28">
        <f t="shared" si="1"/>
        <v>104.9813</v>
      </c>
      <c r="G47" s="29">
        <f t="shared" si="3"/>
        <v>24.206885514101785</v>
      </c>
      <c r="H47" s="29">
        <f t="shared" si="3"/>
        <v>414.93104009952248</v>
      </c>
      <c r="I47" s="30">
        <v>24.206890000000001</v>
      </c>
      <c r="J47" s="30">
        <v>414.93104</v>
      </c>
      <c r="K47" s="30">
        <f t="shared" si="4"/>
        <v>24.206890000000001</v>
      </c>
      <c r="L47" s="30">
        <f t="shared" si="2"/>
        <v>414.93104999999997</v>
      </c>
    </row>
    <row r="48" spans="1:12" x14ac:dyDescent="0.3">
      <c r="A48" s="7" t="s">
        <v>14</v>
      </c>
      <c r="B48" s="7" t="s">
        <v>66</v>
      </c>
      <c r="C48" s="27">
        <v>0.79</v>
      </c>
      <c r="D48" s="27">
        <v>0.73</v>
      </c>
      <c r="E48" s="28">
        <f t="shared" si="0"/>
        <v>1776.9944000000003</v>
      </c>
      <c r="F48" s="28">
        <f t="shared" si="1"/>
        <v>104.9813</v>
      </c>
      <c r="G48" s="29">
        <f t="shared" si="3"/>
        <v>24.513301786432187</v>
      </c>
      <c r="H48" s="29">
        <f t="shared" si="3"/>
        <v>414.93104009952248</v>
      </c>
      <c r="I48" s="30">
        <v>24.513300000000001</v>
      </c>
      <c r="J48" s="30">
        <v>414.93104</v>
      </c>
      <c r="K48" s="30">
        <f t="shared" si="4"/>
        <v>24.513310000000001</v>
      </c>
      <c r="L48" s="30">
        <f t="shared" si="2"/>
        <v>414.93104999999997</v>
      </c>
    </row>
    <row r="49" spans="1:12" x14ac:dyDescent="0.3">
      <c r="A49" s="7" t="s">
        <v>14</v>
      </c>
      <c r="B49" s="7" t="s">
        <v>67</v>
      </c>
      <c r="C49" s="27">
        <v>0.81</v>
      </c>
      <c r="D49" s="27">
        <v>0.75</v>
      </c>
      <c r="E49" s="28">
        <f t="shared" si="0"/>
        <v>1821.9816000000003</v>
      </c>
      <c r="F49" s="28">
        <f t="shared" si="1"/>
        <v>107.8575</v>
      </c>
      <c r="G49" s="29">
        <f t="shared" si="3"/>
        <v>23.908035075656084</v>
      </c>
      <c r="H49" s="29">
        <f t="shared" si="3"/>
        <v>403.86621236353523</v>
      </c>
      <c r="I49" s="30">
        <v>23.90804</v>
      </c>
      <c r="J49" s="30">
        <v>403.86621000000002</v>
      </c>
      <c r="K49" s="30">
        <f t="shared" si="4"/>
        <v>23.90804</v>
      </c>
      <c r="L49" s="30">
        <f t="shared" si="2"/>
        <v>403.86622</v>
      </c>
    </row>
    <row r="50" spans="1:12" x14ac:dyDescent="0.3">
      <c r="A50" s="7" t="s">
        <v>14</v>
      </c>
      <c r="B50" s="7" t="s">
        <v>68</v>
      </c>
      <c r="C50" s="27">
        <v>0.81</v>
      </c>
      <c r="D50" s="27">
        <v>0.74</v>
      </c>
      <c r="E50" s="28">
        <f t="shared" si="0"/>
        <v>1821.9816000000003</v>
      </c>
      <c r="F50" s="28">
        <f t="shared" si="1"/>
        <v>106.4194</v>
      </c>
      <c r="G50" s="29">
        <f t="shared" si="3"/>
        <v>23.908035075656084</v>
      </c>
      <c r="H50" s="29">
        <f t="shared" si="3"/>
        <v>409.32386388196142</v>
      </c>
      <c r="I50" s="30">
        <v>23.90804</v>
      </c>
      <c r="J50" s="30">
        <v>409.32386000000002</v>
      </c>
      <c r="K50" s="30">
        <f t="shared" si="4"/>
        <v>23.90804</v>
      </c>
      <c r="L50" s="30">
        <f t="shared" si="2"/>
        <v>409.32387</v>
      </c>
    </row>
    <row r="51" spans="1:12" x14ac:dyDescent="0.3">
      <c r="A51" s="7" t="s">
        <v>14</v>
      </c>
      <c r="B51" s="7" t="s">
        <v>69</v>
      </c>
      <c r="C51" s="27">
        <v>0.95</v>
      </c>
      <c r="D51" s="27">
        <v>0.97</v>
      </c>
      <c r="E51" s="28">
        <f t="shared" si="0"/>
        <v>2136.8919999999998</v>
      </c>
      <c r="F51" s="28">
        <f t="shared" si="1"/>
        <v>139.4957</v>
      </c>
      <c r="G51" s="29">
        <f t="shared" si="3"/>
        <v>20.384745696085719</v>
      </c>
      <c r="H51" s="29">
        <f t="shared" si="3"/>
        <v>312.26768997180557</v>
      </c>
      <c r="I51" s="30">
        <v>20.38475</v>
      </c>
      <c r="J51" s="30">
        <v>312.26769000000002</v>
      </c>
      <c r="K51" s="30">
        <f t="shared" si="4"/>
        <v>20.38475</v>
      </c>
      <c r="L51" s="30">
        <f t="shared" si="2"/>
        <v>312.26768999999996</v>
      </c>
    </row>
    <row r="52" spans="1:12" x14ac:dyDescent="0.3">
      <c r="A52" s="7" t="s">
        <v>14</v>
      </c>
      <c r="B52" s="7" t="s">
        <v>70</v>
      </c>
      <c r="C52" s="27">
        <v>0.88</v>
      </c>
      <c r="D52" s="27">
        <v>0.91</v>
      </c>
      <c r="E52" s="28">
        <f t="shared" si="0"/>
        <v>1979.4368000000002</v>
      </c>
      <c r="F52" s="28">
        <f t="shared" si="1"/>
        <v>130.86709999999999</v>
      </c>
      <c r="G52" s="29">
        <f t="shared" si="3"/>
        <v>22.006259558274351</v>
      </c>
      <c r="H52" s="29">
        <f t="shared" si="3"/>
        <v>332.85676843148508</v>
      </c>
      <c r="I52" s="30">
        <v>22.006260000000001</v>
      </c>
      <c r="J52" s="30">
        <v>332.85676999999998</v>
      </c>
      <c r="K52" s="30">
        <f t="shared" si="4"/>
        <v>22.006260000000001</v>
      </c>
      <c r="L52" s="30">
        <f t="shared" si="2"/>
        <v>332.85676999999998</v>
      </c>
    </row>
    <row r="53" spans="1:12" x14ac:dyDescent="0.3">
      <c r="A53" s="7" t="s">
        <v>14</v>
      </c>
      <c r="B53" s="7" t="s">
        <v>71</v>
      </c>
      <c r="C53" s="27">
        <v>0.97</v>
      </c>
      <c r="D53" s="27">
        <v>0.98</v>
      </c>
      <c r="E53" s="28">
        <f t="shared" si="0"/>
        <v>2181.8791999999999</v>
      </c>
      <c r="F53" s="28">
        <f t="shared" si="1"/>
        <v>140.93379999999999</v>
      </c>
      <c r="G53" s="29">
        <f t="shared" si="3"/>
        <v>19.964441661114879</v>
      </c>
      <c r="H53" s="29">
        <f t="shared" si="3"/>
        <v>309.08128497209333</v>
      </c>
      <c r="I53" s="30">
        <v>19.96444</v>
      </c>
      <c r="J53" s="30">
        <v>309.08127999999999</v>
      </c>
      <c r="K53" s="30">
        <f t="shared" si="4"/>
        <v>19.964449999999999</v>
      </c>
      <c r="L53" s="30">
        <f t="shared" si="2"/>
        <v>309.08128999999997</v>
      </c>
    </row>
    <row r="54" spans="1:12" x14ac:dyDescent="0.3">
      <c r="A54" s="7" t="s">
        <v>14</v>
      </c>
      <c r="B54" s="7" t="s">
        <v>72</v>
      </c>
      <c r="C54" s="27">
        <v>0.92</v>
      </c>
      <c r="D54" s="27">
        <v>0.95</v>
      </c>
      <c r="E54" s="28">
        <f t="shared" si="0"/>
        <v>2069.4112</v>
      </c>
      <c r="F54" s="28">
        <f t="shared" si="1"/>
        <v>136.61949999999999</v>
      </c>
      <c r="G54" s="29">
        <f t="shared" si="3"/>
        <v>21.049465664436337</v>
      </c>
      <c r="H54" s="29">
        <f t="shared" si="3"/>
        <v>318.84174660279098</v>
      </c>
      <c r="I54" s="30">
        <v>21.049469999999999</v>
      </c>
      <c r="J54" s="30">
        <v>318.84174999999999</v>
      </c>
      <c r="K54" s="30">
        <f t="shared" si="4"/>
        <v>21.049469999999999</v>
      </c>
      <c r="L54" s="30">
        <f t="shared" si="2"/>
        <v>318.84174999999999</v>
      </c>
    </row>
    <row r="55" spans="1:12" x14ac:dyDescent="0.3">
      <c r="A55" s="7" t="s">
        <v>14</v>
      </c>
      <c r="B55" s="7" t="s">
        <v>73</v>
      </c>
      <c r="C55" s="27">
        <v>0.98</v>
      </c>
      <c r="D55" s="27">
        <v>0.99</v>
      </c>
      <c r="E55" s="28">
        <f t="shared" si="0"/>
        <v>2204.3728000000001</v>
      </c>
      <c r="F55" s="28">
        <f t="shared" si="1"/>
        <v>142.37190000000001</v>
      </c>
      <c r="G55" s="29">
        <f t="shared" si="3"/>
        <v>19.760722868654522</v>
      </c>
      <c r="H55" s="29">
        <f t="shared" si="3"/>
        <v>305.95925179055695</v>
      </c>
      <c r="I55" s="30">
        <v>19.760719999999999</v>
      </c>
      <c r="J55" s="30">
        <v>305.95925</v>
      </c>
      <c r="K55" s="30">
        <f t="shared" si="4"/>
        <v>19.760729999999999</v>
      </c>
      <c r="L55" s="30">
        <f t="shared" si="2"/>
        <v>305.95925999999997</v>
      </c>
    </row>
    <row r="56" spans="1:12" x14ac:dyDescent="0.3">
      <c r="A56" s="10" t="s">
        <v>15</v>
      </c>
      <c r="B56" s="10" t="s">
        <v>74</v>
      </c>
      <c r="C56" s="31">
        <v>0.4</v>
      </c>
      <c r="D56" s="31">
        <v>0.19</v>
      </c>
      <c r="E56" s="32">
        <f t="shared" ref="E56:E62" si="5">C56*$B$4</f>
        <v>867.70400000000018</v>
      </c>
      <c r="F56" s="32">
        <f t="shared" ref="F56:F62" si="6">D56*$C$4</f>
        <v>27.323900000000002</v>
      </c>
      <c r="G56" s="33">
        <f t="shared" si="3"/>
        <v>50.20145118611876</v>
      </c>
      <c r="H56" s="33">
        <f t="shared" si="3"/>
        <v>1594.2087330139548</v>
      </c>
      <c r="I56" s="34">
        <v>50.201450000000001</v>
      </c>
      <c r="J56" s="34">
        <v>1594.2087300000001</v>
      </c>
      <c r="K56" s="34">
        <f t="shared" si="4"/>
        <v>50.201460000000004</v>
      </c>
      <c r="L56" s="34">
        <f t="shared" si="2"/>
        <v>1594.20874</v>
      </c>
    </row>
    <row r="57" spans="1:12" x14ac:dyDescent="0.3">
      <c r="A57" s="10" t="s">
        <v>15</v>
      </c>
      <c r="B57" s="10" t="s">
        <v>75</v>
      </c>
      <c r="C57" s="31">
        <v>0.59</v>
      </c>
      <c r="D57" s="31">
        <v>0.45</v>
      </c>
      <c r="E57" s="32">
        <f t="shared" si="5"/>
        <v>1279.8634</v>
      </c>
      <c r="F57" s="32">
        <f t="shared" si="6"/>
        <v>64.714500000000001</v>
      </c>
      <c r="G57" s="33">
        <f t="shared" si="3"/>
        <v>34.034882160080521</v>
      </c>
      <c r="H57" s="33">
        <f t="shared" si="3"/>
        <v>673.11035393922532</v>
      </c>
      <c r="I57" s="34">
        <v>34.034880000000001</v>
      </c>
      <c r="J57" s="34">
        <v>673.11035000000004</v>
      </c>
      <c r="K57" s="34">
        <f t="shared" si="4"/>
        <v>34.034890000000004</v>
      </c>
      <c r="L57" s="34">
        <f t="shared" si="2"/>
        <v>673.11036000000001</v>
      </c>
    </row>
    <row r="58" spans="1:12" x14ac:dyDescent="0.3">
      <c r="A58" s="10" t="s">
        <v>15</v>
      </c>
      <c r="B58" s="10" t="s">
        <v>76</v>
      </c>
      <c r="C58" s="31">
        <v>0.69</v>
      </c>
      <c r="D58" s="31">
        <v>0.63</v>
      </c>
      <c r="E58" s="32">
        <f t="shared" si="5"/>
        <v>1496.7894000000001</v>
      </c>
      <c r="F58" s="32">
        <f t="shared" si="6"/>
        <v>90.600300000000004</v>
      </c>
      <c r="G58" s="33">
        <f t="shared" si="3"/>
        <v>29.102290542677544</v>
      </c>
      <c r="H58" s="33">
        <f t="shared" si="3"/>
        <v>480.79310995658955</v>
      </c>
      <c r="I58" s="34">
        <v>29.10229</v>
      </c>
      <c r="J58" s="34">
        <v>480.79311000000001</v>
      </c>
      <c r="K58" s="34">
        <f t="shared" si="4"/>
        <v>29.1023</v>
      </c>
      <c r="L58" s="34">
        <f t="shared" si="2"/>
        <v>480.79310999999996</v>
      </c>
    </row>
    <row r="59" spans="1:12" x14ac:dyDescent="0.3">
      <c r="A59" s="10" t="s">
        <v>15</v>
      </c>
      <c r="B59" s="10" t="s">
        <v>77</v>
      </c>
      <c r="C59" s="31">
        <v>0.61</v>
      </c>
      <c r="D59" s="31">
        <v>0.57999999999999996</v>
      </c>
      <c r="E59" s="32">
        <f t="shared" si="5"/>
        <v>1323.2486000000001</v>
      </c>
      <c r="F59" s="32">
        <f t="shared" si="6"/>
        <v>83.40979999999999</v>
      </c>
      <c r="G59" s="33">
        <f t="shared" si="3"/>
        <v>32.91898438434017</v>
      </c>
      <c r="H59" s="33">
        <f t="shared" si="3"/>
        <v>522.2407918493991</v>
      </c>
      <c r="I59" s="34">
        <v>32.918979999999998</v>
      </c>
      <c r="J59" s="34">
        <v>522.24078999999995</v>
      </c>
      <c r="K59" s="34">
        <f t="shared" si="4"/>
        <v>32.918990000000001</v>
      </c>
      <c r="L59" s="34">
        <f t="shared" si="2"/>
        <v>522.24079999999992</v>
      </c>
    </row>
    <row r="60" spans="1:12" x14ac:dyDescent="0.3">
      <c r="A60" s="10" t="s">
        <v>15</v>
      </c>
      <c r="B60" s="10" t="s">
        <v>78</v>
      </c>
      <c r="C60" s="31">
        <v>0.69</v>
      </c>
      <c r="D60" s="31">
        <v>0.63</v>
      </c>
      <c r="E60" s="32">
        <f t="shared" si="5"/>
        <v>1496.7894000000001</v>
      </c>
      <c r="F60" s="32">
        <f t="shared" si="6"/>
        <v>90.600300000000004</v>
      </c>
      <c r="G60" s="33">
        <f t="shared" si="3"/>
        <v>29.102290542677544</v>
      </c>
      <c r="H60" s="33">
        <f t="shared" si="3"/>
        <v>480.79310995658955</v>
      </c>
      <c r="I60" s="34">
        <v>29.10229</v>
      </c>
      <c r="J60" s="34">
        <v>480.79311000000001</v>
      </c>
      <c r="K60" s="34">
        <f t="shared" si="4"/>
        <v>29.1023</v>
      </c>
      <c r="L60" s="34">
        <f t="shared" si="2"/>
        <v>480.79310999999996</v>
      </c>
    </row>
    <row r="61" spans="1:12" x14ac:dyDescent="0.3">
      <c r="A61" s="10" t="s">
        <v>15</v>
      </c>
      <c r="B61" s="10" t="s">
        <v>79</v>
      </c>
      <c r="C61" s="31">
        <v>0.85</v>
      </c>
      <c r="D61" s="31">
        <v>0.89</v>
      </c>
      <c r="E61" s="32">
        <f t="shared" si="5"/>
        <v>1843.8710000000001</v>
      </c>
      <c r="F61" s="32">
        <f t="shared" si="6"/>
        <v>127.99090000000001</v>
      </c>
      <c r="G61" s="33">
        <f t="shared" si="3"/>
        <v>23.624212322879419</v>
      </c>
      <c r="H61" s="33">
        <f t="shared" si="3"/>
        <v>340.33669581196784</v>
      </c>
      <c r="I61" s="34">
        <v>23.624210000000001</v>
      </c>
      <c r="J61" s="34">
        <v>340.33670000000001</v>
      </c>
      <c r="K61" s="34">
        <f t="shared" si="4"/>
        <v>23.624220000000001</v>
      </c>
      <c r="L61" s="34">
        <f t="shared" si="2"/>
        <v>340.33669999999995</v>
      </c>
    </row>
    <row r="62" spans="1:12" x14ac:dyDescent="0.3">
      <c r="A62" s="10" t="s">
        <v>15</v>
      </c>
      <c r="B62" s="10" t="s">
        <v>80</v>
      </c>
      <c r="C62" s="31">
        <v>0.69</v>
      </c>
      <c r="D62" s="31">
        <v>0.63</v>
      </c>
      <c r="E62" s="32">
        <f t="shared" si="5"/>
        <v>1496.7894000000001</v>
      </c>
      <c r="F62" s="32">
        <f t="shared" si="6"/>
        <v>90.600300000000004</v>
      </c>
      <c r="G62" s="33">
        <f t="shared" si="3"/>
        <v>29.102290542677544</v>
      </c>
      <c r="H62" s="33">
        <f t="shared" si="3"/>
        <v>480.79310995658955</v>
      </c>
      <c r="I62" s="34">
        <v>29.10229</v>
      </c>
      <c r="J62" s="34">
        <v>480.79311000000001</v>
      </c>
      <c r="K62" s="34">
        <f t="shared" si="4"/>
        <v>29.1023</v>
      </c>
      <c r="L62" s="34">
        <f t="shared" si="2"/>
        <v>480.79310999999996</v>
      </c>
    </row>
    <row r="63" spans="1:12" x14ac:dyDescent="0.3">
      <c r="A63" s="12" t="s">
        <v>16</v>
      </c>
      <c r="B63" s="12" t="s">
        <v>81</v>
      </c>
      <c r="C63" s="35">
        <v>0.85</v>
      </c>
      <c r="D63" s="35">
        <v>0.9</v>
      </c>
      <c r="E63" s="36">
        <f>C63*$B$5</f>
        <v>1932.067</v>
      </c>
      <c r="F63" s="36">
        <f>D63*$C$5</f>
        <v>131.76000000000002</v>
      </c>
      <c r="G63" s="37">
        <f t="shared" si="3"/>
        <v>22.545801983057522</v>
      </c>
      <c r="H63" s="37">
        <f t="shared" si="3"/>
        <v>330.6010928961748</v>
      </c>
      <c r="I63" s="38">
        <v>22.5458</v>
      </c>
      <c r="J63" s="38">
        <v>330.60109</v>
      </c>
      <c r="K63" s="38">
        <f t="shared" si="4"/>
        <v>22.545809999999999</v>
      </c>
      <c r="L63" s="38">
        <f t="shared" si="2"/>
        <v>330.60109999999997</v>
      </c>
    </row>
    <row r="64" spans="1:12" x14ac:dyDescent="0.3">
      <c r="A64" s="10" t="s">
        <v>15</v>
      </c>
      <c r="B64" s="10" t="s">
        <v>82</v>
      </c>
      <c r="C64" s="31">
        <v>0.92</v>
      </c>
      <c r="D64" s="31">
        <v>0.94</v>
      </c>
      <c r="E64" s="32">
        <f>C64*$B$4</f>
        <v>1995.7192000000002</v>
      </c>
      <c r="F64" s="32">
        <f>D64*$C$4</f>
        <v>135.1814</v>
      </c>
      <c r="G64" s="33">
        <f t="shared" si="3"/>
        <v>21.826717907008156</v>
      </c>
      <c r="H64" s="33">
        <f t="shared" si="3"/>
        <v>322.23368007728874</v>
      </c>
      <c r="I64" s="34">
        <v>21.826720000000002</v>
      </c>
      <c r="J64" s="34">
        <v>322.23367999999999</v>
      </c>
      <c r="K64" s="34">
        <f t="shared" si="4"/>
        <v>21.826719999999998</v>
      </c>
      <c r="L64" s="34">
        <f t="shared" si="2"/>
        <v>322.23368999999997</v>
      </c>
    </row>
    <row r="65" spans="1:12" x14ac:dyDescent="0.3">
      <c r="A65" s="12" t="s">
        <v>16</v>
      </c>
      <c r="B65" s="12" t="s">
        <v>82</v>
      </c>
      <c r="C65" s="35">
        <v>0.92</v>
      </c>
      <c r="D65" s="35">
        <v>0.94</v>
      </c>
      <c r="E65" s="36">
        <f>C64*$B$5</f>
        <v>2091.1784000000002</v>
      </c>
      <c r="F65" s="36">
        <f>D64*$C$5</f>
        <v>137.61599999999999</v>
      </c>
      <c r="G65" s="37">
        <f t="shared" si="3"/>
        <v>20.830360527824883</v>
      </c>
      <c r="H65" s="37">
        <f t="shared" si="3"/>
        <v>316.53296128357169</v>
      </c>
      <c r="I65" s="38">
        <v>20.830359999999999</v>
      </c>
      <c r="J65" s="38">
        <v>316.53296</v>
      </c>
      <c r="K65" s="38">
        <f t="shared" si="4"/>
        <v>20.830369999999998</v>
      </c>
      <c r="L65" s="38">
        <f t="shared" si="2"/>
        <v>316.53296999999998</v>
      </c>
    </row>
    <row r="66" spans="1:12" x14ac:dyDescent="0.3">
      <c r="A66" s="10" t="s">
        <v>15</v>
      </c>
      <c r="B66" s="10" t="s">
        <v>83</v>
      </c>
      <c r="C66" s="31">
        <v>0.94</v>
      </c>
      <c r="D66" s="31">
        <v>0.96</v>
      </c>
      <c r="E66" s="32">
        <f>C66*$B$4</f>
        <v>2039.1044000000002</v>
      </c>
      <c r="F66" s="32">
        <f>D66*$C$4</f>
        <v>138.05760000000001</v>
      </c>
      <c r="G66" s="33">
        <f t="shared" si="3"/>
        <v>21.362319653667559</v>
      </c>
      <c r="H66" s="33">
        <f t="shared" si="3"/>
        <v>315.5204784090119</v>
      </c>
      <c r="I66" s="34">
        <v>21.36232</v>
      </c>
      <c r="J66" s="34">
        <v>315.52048000000002</v>
      </c>
      <c r="K66" s="34">
        <f t="shared" si="4"/>
        <v>21.36232</v>
      </c>
      <c r="L66" s="34">
        <f t="shared" si="2"/>
        <v>315.52047999999996</v>
      </c>
    </row>
    <row r="67" spans="1:12" x14ac:dyDescent="0.3">
      <c r="A67" s="12" t="s">
        <v>16</v>
      </c>
      <c r="B67" s="12" t="s">
        <v>83</v>
      </c>
      <c r="C67" s="35">
        <v>0.94</v>
      </c>
      <c r="D67" s="35">
        <v>0.96</v>
      </c>
      <c r="E67" s="36">
        <f>C66*$B$5</f>
        <v>2136.6387999999997</v>
      </c>
      <c r="F67" s="36">
        <f>D66*$C$5</f>
        <v>140.54400000000001</v>
      </c>
      <c r="G67" s="37">
        <f t="shared" si="3"/>
        <v>20.3871613676584</v>
      </c>
      <c r="H67" s="37">
        <f t="shared" si="3"/>
        <v>309.93852459016392</v>
      </c>
      <c r="I67" s="38">
        <v>20.387160000000002</v>
      </c>
      <c r="J67" s="38">
        <v>309.93851999999998</v>
      </c>
      <c r="K67" s="38">
        <f t="shared" si="4"/>
        <v>20.387170000000001</v>
      </c>
      <c r="L67" s="38">
        <f t="shared" si="2"/>
        <v>309.93852999999996</v>
      </c>
    </row>
    <row r="68" spans="1:12" x14ac:dyDescent="0.3">
      <c r="A68" s="10" t="s">
        <v>15</v>
      </c>
      <c r="B68" s="10" t="s">
        <v>84</v>
      </c>
      <c r="C68" s="31">
        <v>0.88</v>
      </c>
      <c r="D68" s="31">
        <v>0.91</v>
      </c>
      <c r="E68" s="32">
        <f>C68*$B$4</f>
        <v>1908.9488000000001</v>
      </c>
      <c r="F68" s="32">
        <f>D68*$C$4</f>
        <v>130.86709999999999</v>
      </c>
      <c r="G68" s="33">
        <f t="shared" si="3"/>
        <v>22.818841448235801</v>
      </c>
      <c r="H68" s="33">
        <f t="shared" si="3"/>
        <v>332.85676843148508</v>
      </c>
      <c r="I68" s="34">
        <v>22.818840000000002</v>
      </c>
      <c r="J68" s="34">
        <v>332.85676999999998</v>
      </c>
      <c r="K68" s="34">
        <f t="shared" si="4"/>
        <v>22.818850000000001</v>
      </c>
      <c r="L68" s="34">
        <f t="shared" si="2"/>
        <v>332.85676999999998</v>
      </c>
    </row>
    <row r="69" spans="1:12" x14ac:dyDescent="0.3">
      <c r="A69" s="12" t="s">
        <v>16</v>
      </c>
      <c r="B69" s="12" t="s">
        <v>84</v>
      </c>
      <c r="C69" s="35">
        <v>0.88</v>
      </c>
      <c r="D69" s="35">
        <v>0.91</v>
      </c>
      <c r="E69" s="36">
        <f>C68*$B$5</f>
        <v>2000.2575999999999</v>
      </c>
      <c r="F69" s="36">
        <f>D68*$C$5</f>
        <v>133.22400000000002</v>
      </c>
      <c r="G69" s="37">
        <f t="shared" si="3"/>
        <v>21.777195097271473</v>
      </c>
      <c r="H69" s="37">
        <f t="shared" si="3"/>
        <v>326.96811385335974</v>
      </c>
      <c r="I69" s="38">
        <v>21.777200000000001</v>
      </c>
      <c r="J69" s="38">
        <v>326.96811000000002</v>
      </c>
      <c r="K69" s="38">
        <f t="shared" si="4"/>
        <v>21.777200000000001</v>
      </c>
      <c r="L69" s="38">
        <f t="shared" si="2"/>
        <v>326.96812</v>
      </c>
    </row>
    <row r="70" spans="1:12" x14ac:dyDescent="0.3">
      <c r="B70" s="39" t="s">
        <v>85</v>
      </c>
    </row>
  </sheetData>
  <sheetProtection algorithmName="SHA-512" hashValue="S2I0ra5dRkKC1iddrjSmFkuqzJcsVhWeUZIqIBf+nBx3zZGhYzO48sBx20XG5mkWytZ6NrcGmfnBxrtGHg5Eow==" saltValue="LUuWVpJoh0PRcfOBqVcn5A==" spinCount="100000" sheet="1" objects="1" scenarios="1"/>
  <mergeCells count="1">
    <mergeCell ref="B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Project Credits</vt:lpstr>
      <vt:lpstr>CR for Nutrient Conversion</vt:lpstr>
      <vt:lpstr>Detailed Jordan Credit Ratios</vt:lpstr>
      <vt:lpstr>Instructions!Print_Area</vt:lpstr>
      <vt:lpstr>'Project Credits'!Print_Area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jrschaffer</dc:creator>
  <cp:lastModifiedBy>Dow, Jeremiah J</cp:lastModifiedBy>
  <cp:lastPrinted>2020-10-08T15:55:57Z</cp:lastPrinted>
  <dcterms:created xsi:type="dcterms:W3CDTF">2014-06-03T14:17:04Z</dcterms:created>
  <dcterms:modified xsi:type="dcterms:W3CDTF">2022-11-21T14:13:16Z</dcterms:modified>
</cp:coreProperties>
</file>